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Documents\-=Eelarved=-\Eelarve 2025\2024 aruanne\"/>
    </mc:Choice>
  </mc:AlternateContent>
  <xr:revisionPtr revIDLastSave="0" documentId="8_{56176F66-30AA-4359-92C9-1B0405184DAE}" xr6:coauthVersionLast="47" xr6:coauthVersionMax="47" xr10:uidLastSave="{00000000-0000-0000-0000-000000000000}"/>
  <bookViews>
    <workbookView xWindow="-120" yWindow="-120" windowWidth="29040" windowHeight="15840" xr2:uid="{921229FB-84E3-4307-9235-09ADB3D2302D}"/>
  </bookViews>
  <sheets>
    <sheet name="RETA" sheetId="1" r:id="rId1"/>
    <sheet name="lisa1 Lõpliku ea kujunemine" sheetId="2" r:id="rId2"/>
    <sheet name="lisa2 RE ja TA võrdlu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E74" i="1" l="1"/>
  <c r="D87" i="1" l="1"/>
  <c r="D47" i="1"/>
  <c r="D86" i="1"/>
  <c r="D46" i="1"/>
  <c r="D64" i="1"/>
  <c r="E87" i="1"/>
  <c r="D55" i="1"/>
  <c r="E86" i="1"/>
  <c r="D54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63" i="1"/>
  <c r="D62" i="1"/>
  <c r="D60" i="1"/>
  <c r="D59" i="1"/>
  <c r="D58" i="1"/>
  <c r="D18" i="1"/>
  <c r="D19" i="1"/>
  <c r="D20" i="1"/>
  <c r="D21" i="1"/>
  <c r="E9" i="1" l="1"/>
  <c r="E91" i="1" l="1"/>
  <c r="D65" i="1" l="1"/>
  <c r="E65" i="1" l="1"/>
  <c r="H3" i="3" l="1"/>
  <c r="G3" i="3"/>
  <c r="F3" i="3"/>
  <c r="D3" i="3"/>
  <c r="C3" i="3"/>
  <c r="C7" i="2"/>
  <c r="C15" i="2"/>
  <c r="F74" i="1"/>
  <c r="F72" i="1" s="1"/>
  <c r="G89" i="1"/>
  <c r="G88" i="1"/>
  <c r="G87" i="1"/>
  <c r="E78" i="1"/>
  <c r="D70" i="1"/>
  <c r="D68" i="1" s="1"/>
  <c r="G69" i="1"/>
  <c r="F69" i="1"/>
  <c r="E69" i="1"/>
  <c r="D69" i="1"/>
  <c r="C69" i="1"/>
  <c r="F68" i="1"/>
  <c r="E68" i="1"/>
  <c r="C68" i="1"/>
  <c r="G67" i="1"/>
  <c r="D66" i="1"/>
  <c r="G66" i="1" s="1"/>
  <c r="F65" i="1"/>
  <c r="G64" i="1"/>
  <c r="G63" i="1"/>
  <c r="G62" i="1"/>
  <c r="D61" i="1"/>
  <c r="G61" i="1" s="1"/>
  <c r="G60" i="1"/>
  <c r="F58" i="1"/>
  <c r="F56" i="1" s="1"/>
  <c r="G58" i="1"/>
  <c r="F57" i="1"/>
  <c r="E57" i="1"/>
  <c r="C57" i="1"/>
  <c r="E56" i="1"/>
  <c r="C56" i="1"/>
  <c r="G55" i="1"/>
  <c r="F54" i="1"/>
  <c r="G54" i="1"/>
  <c r="D53" i="1"/>
  <c r="G53" i="1" s="1"/>
  <c r="G52" i="1"/>
  <c r="G51" i="1"/>
  <c r="G50" i="1"/>
  <c r="G49" i="1"/>
  <c r="G48" i="1"/>
  <c r="F47" i="1"/>
  <c r="G47" i="1"/>
  <c r="F46" i="1"/>
  <c r="G46" i="1"/>
  <c r="F45" i="1"/>
  <c r="G45" i="1"/>
  <c r="F44" i="1"/>
  <c r="G44" i="1"/>
  <c r="F43" i="1"/>
  <c r="G43" i="1"/>
  <c r="F42" i="1"/>
  <c r="G42" i="1"/>
  <c r="G41" i="1"/>
  <c r="G40" i="1"/>
  <c r="G39" i="1"/>
  <c r="F38" i="1"/>
  <c r="G38" i="1"/>
  <c r="G37" i="1"/>
  <c r="F36" i="1"/>
  <c r="G35" i="1"/>
  <c r="F34" i="1"/>
  <c r="G34" i="1"/>
  <c r="G33" i="1"/>
  <c r="F32" i="1"/>
  <c r="G32" i="1"/>
  <c r="G31" i="1"/>
  <c r="F30" i="1"/>
  <c r="G30" i="1"/>
  <c r="F29" i="1"/>
  <c r="G29" i="1"/>
  <c r="F28" i="1"/>
  <c r="G28" i="1"/>
  <c r="D27" i="1"/>
  <c r="F26" i="1"/>
  <c r="D26" i="1"/>
  <c r="G26" i="1" s="1"/>
  <c r="E25" i="1"/>
  <c r="C25" i="1"/>
  <c r="C23" i="1" s="1"/>
  <c r="E24" i="1"/>
  <c r="C24" i="1"/>
  <c r="G21" i="1"/>
  <c r="D14" i="1"/>
  <c r="G19" i="1"/>
  <c r="G18" i="1"/>
  <c r="F17" i="1"/>
  <c r="E17" i="1"/>
  <c r="C17" i="1"/>
  <c r="F16" i="1"/>
  <c r="E16" i="1"/>
  <c r="C16" i="1"/>
  <c r="F15" i="1"/>
  <c r="E15" i="1"/>
  <c r="C15" i="1"/>
  <c r="F14" i="1"/>
  <c r="E14" i="1"/>
  <c r="C14" i="1"/>
  <c r="D11" i="1"/>
  <c r="G11" i="1" s="1"/>
  <c r="F10" i="1"/>
  <c r="D10" i="1"/>
  <c r="G10" i="1" s="1"/>
  <c r="F9" i="1"/>
  <c r="D9" i="1"/>
  <c r="F8" i="1"/>
  <c r="F6" i="1" s="1"/>
  <c r="E8" i="1"/>
  <c r="E6" i="1" s="1"/>
  <c r="D8" i="1"/>
  <c r="D7" i="1"/>
  <c r="G7" i="1" s="1"/>
  <c r="C6" i="1"/>
  <c r="B6" i="2" s="1"/>
  <c r="B32" i="2" s="1"/>
  <c r="E72" i="1" l="1"/>
  <c r="E22" i="1"/>
  <c r="E12" i="1" s="1"/>
  <c r="G70" i="1"/>
  <c r="G68" i="1" s="1"/>
  <c r="D57" i="1"/>
  <c r="G9" i="1"/>
  <c r="G65" i="1"/>
  <c r="G20" i="1"/>
  <c r="G14" i="1" s="1"/>
  <c r="F25" i="1"/>
  <c r="F23" i="1" s="1"/>
  <c r="F13" i="1" s="1"/>
  <c r="F24" i="1"/>
  <c r="F22" i="1" s="1"/>
  <c r="F12" i="1" s="1"/>
  <c r="F90" i="1" s="1"/>
  <c r="F92" i="1" s="1"/>
  <c r="G8" i="1"/>
  <c r="E23" i="1"/>
  <c r="E13" i="1" s="1"/>
  <c r="C22" i="1"/>
  <c r="D16" i="1"/>
  <c r="D24" i="1"/>
  <c r="G56" i="1"/>
  <c r="D25" i="1"/>
  <c r="G86" i="1"/>
  <c r="G15" i="1"/>
  <c r="G17" i="1"/>
  <c r="C13" i="1"/>
  <c r="D17" i="1"/>
  <c r="G27" i="1"/>
  <c r="G25" i="1" s="1"/>
  <c r="G36" i="1"/>
  <c r="G24" i="1" s="1"/>
  <c r="D56" i="1"/>
  <c r="G59" i="1"/>
  <c r="G57" i="1" s="1"/>
  <c r="D6" i="1"/>
  <c r="B33" i="2" s="1"/>
  <c r="B34" i="2" s="1"/>
  <c r="D15" i="1"/>
  <c r="C12" i="1" l="1"/>
  <c r="C6" i="2" s="1"/>
  <c r="C32" i="2" s="1"/>
  <c r="D23" i="1"/>
  <c r="G16" i="1"/>
  <c r="H12" i="1"/>
  <c r="G6" i="1"/>
  <c r="E90" i="1"/>
  <c r="E92" i="1" s="1"/>
  <c r="D13" i="1"/>
  <c r="G22" i="1"/>
  <c r="G12" i="1" s="1"/>
  <c r="D22" i="1"/>
  <c r="D12" i="1" s="1"/>
  <c r="G23" i="1"/>
  <c r="G13" i="1" s="1"/>
  <c r="C33" i="2" l="1"/>
  <c r="C34" i="2" s="1"/>
</calcChain>
</file>

<file path=xl/sharedStrings.xml><?xml version="1.0" encoding="utf-8"?>
<sst xmlns="http://schemas.openxmlformats.org/spreadsheetml/2006/main" count="177" uniqueCount="137">
  <si>
    <t>TULUD</t>
  </si>
  <si>
    <t>Riigilõivud</t>
  </si>
  <si>
    <t>Tulu majandustegevusest</t>
  </si>
  <si>
    <t>Saadud toetused</t>
  </si>
  <si>
    <t>Muud tulud</t>
  </si>
  <si>
    <t>Intressi- ja omanikutulud</t>
  </si>
  <si>
    <t>KULUD</t>
  </si>
  <si>
    <t>sh piirmääraga vahendid</t>
  </si>
  <si>
    <t>Tulemusvaldkond: SIDUS ÜHISKOND</t>
  </si>
  <si>
    <t>Lõimumis-, sh kohanemisprogramm</t>
  </si>
  <si>
    <t>Lõimumis-, sh kohanemispoliitika kujundamine ja rakendamine</t>
  </si>
  <si>
    <t>SY06020100</t>
  </si>
  <si>
    <t>Rahvuskaaslaste toetamine</t>
  </si>
  <si>
    <t>SY06030100</t>
  </si>
  <si>
    <t>Tulemusvaldkond: KULTUUR ja SPORT</t>
  </si>
  <si>
    <t>Kultuuriprogramm</t>
  </si>
  <si>
    <t>Loovisikute toetamine ja tunnustamine</t>
  </si>
  <si>
    <t>KS01010100</t>
  </si>
  <si>
    <t>Kirjanduspoliitika kujundamine ja rakendamine</t>
  </si>
  <si>
    <t>KS01010200</t>
  </si>
  <si>
    <t>Etenduskunstide poliitika kujundamine ja rakendamine</t>
  </si>
  <si>
    <t>KS01010300</t>
  </si>
  <si>
    <t>Audiovisuaalpoliitika kujundamine ja rakendamine</t>
  </si>
  <si>
    <t>KS01010400</t>
  </si>
  <si>
    <t>Muusikapoliitika kujundamine ja rakendamine</t>
  </si>
  <si>
    <t>KS01010500</t>
  </si>
  <si>
    <t>Kunstipoliitika kujundamine ja rakendamine</t>
  </si>
  <si>
    <t>KS01010600</t>
  </si>
  <si>
    <t>Arhitektuuri ja disaini poliitika kujundamine ning rakendamine</t>
  </si>
  <si>
    <t>KS01010700</t>
  </si>
  <si>
    <t>Meediapoliitika kujundamine ja rakendamine</t>
  </si>
  <si>
    <t>KS01010800</t>
  </si>
  <si>
    <t>Raamatukogupoliitika kujundamine ja rakendamine</t>
  </si>
  <si>
    <t>KS01020300</t>
  </si>
  <si>
    <t>Rahvakultuuripoliitika kujundamine ja rakendamine</t>
  </si>
  <si>
    <t>KS01020400</t>
  </si>
  <si>
    <t>Muuseumi- ja muinsuskaitsepoliitika kujundamine, rakendamine</t>
  </si>
  <si>
    <t>KS01020500</t>
  </si>
  <si>
    <t>Kultuurivaldkonna digiteerimine</t>
  </si>
  <si>
    <t>KS01030100</t>
  </si>
  <si>
    <t>Kultuurivaldkonna rahvusvahelistumise edendamine</t>
  </si>
  <si>
    <t>KS01030200</t>
  </si>
  <si>
    <t>Loomemajanduspoliitika kujundamine ja rakendamine</t>
  </si>
  <si>
    <t>KS01030300</t>
  </si>
  <si>
    <t>Kultuuri valdkondadeülene tugi- ja arendustegevus</t>
  </si>
  <si>
    <t>KS01030400</t>
  </si>
  <si>
    <t>Spordiprogramm</t>
  </si>
  <si>
    <t>Saavutusspordi toetamine ja arendamine</t>
  </si>
  <si>
    <t>KS02010100</t>
  </si>
  <si>
    <t>Ausa spordi ja sporditurvalisuse toetamine ning arendamine</t>
  </si>
  <si>
    <t>KS02010200</t>
  </si>
  <si>
    <t>Organiseeritud liikumisharrastuse edendamine</t>
  </si>
  <si>
    <t>KS02020100</t>
  </si>
  <si>
    <t>Käibemaks</t>
  </si>
  <si>
    <t>INVESTEERINGUD</t>
  </si>
  <si>
    <t>sh käibemaks</t>
  </si>
  <si>
    <t>FINANTSEERIMISTEHINGUD</t>
  </si>
  <si>
    <t xml:space="preserve">Osalused avaliku sektori ja sidusüksustes </t>
  </si>
  <si>
    <t>KORRIGEERIMISED</t>
  </si>
  <si>
    <t>Saadud maksutulu</t>
  </si>
  <si>
    <t>Edasiantud maksutulu, tekkepõhise ja kassapõhise kulu vahe</t>
  </si>
  <si>
    <t>Saadud mitterahaline sihtfinantseerimine</t>
  </si>
  <si>
    <t>Saadud välistoetused vahendamiseks riigiasutustele</t>
  </si>
  <si>
    <t>Teistelt valitsemisaladelt saadud välistoetuste kaasfinantseerimine</t>
  </si>
  <si>
    <t>Teistele valitsemisaladele antud välistoetused ja kaasfinantseerimine</t>
  </si>
  <si>
    <t>Mitterahaline vahetustehing, kasum põhivara müügist</t>
  </si>
  <si>
    <t>Mitterahaline vahetustehing, põhivara soetus</t>
  </si>
  <si>
    <t>Ebatõenäoliselt laekuvad arved, tulu taastamine</t>
  </si>
  <si>
    <t>Ebatõenäoliselt laekuvad arved, kulu taastamine</t>
  </si>
  <si>
    <t>Osaluste ümberhindlus</t>
  </si>
  <si>
    <t xml:space="preserve">JAOTAMATA </t>
  </si>
  <si>
    <t>SAP miinus jaotatud</t>
  </si>
  <si>
    <t>Kulud</t>
  </si>
  <si>
    <t>Investeeringud</t>
  </si>
  <si>
    <t>Kontroll</t>
  </si>
  <si>
    <t>saldoandmik</t>
  </si>
  <si>
    <t>eurodes</t>
  </si>
  <si>
    <t>Algne eelarve</t>
  </si>
  <si>
    <t>Lõplik eelarve</t>
  </si>
  <si>
    <t>Täitmine 2024</t>
  </si>
  <si>
    <t>Täitmine 2023</t>
  </si>
  <si>
    <t>Täitmine miinus lõplik eelarve</t>
  </si>
  <si>
    <t>Lõpliku eelarve kujunemine</t>
  </si>
  <si>
    <t>Esialgne eelarve</t>
  </si>
  <si>
    <t>Üle toodud eelmisest aastast</t>
  </si>
  <si>
    <t>Muudatused 29.05.2024 riigieelarve muutmise seaduse alusel</t>
  </si>
  <si>
    <t>Muudatused 19.06.2024 lisaeelarve seaduse alusel</t>
  </si>
  <si>
    <t>Muudatused 05.12.2024 riigieelarve seaduse muutmise seaduse alusel</t>
  </si>
  <si>
    <t>Muudatused Vabariigi Valitsuse korralduste alusel</t>
  </si>
  <si>
    <t>Sihtotstarbeliste vahendite reservist</t>
  </si>
  <si>
    <t>Eelarves kavandatud toetused</t>
  </si>
  <si>
    <t>Tegelikult saadud toetused ja avatud sildfinantseerimine</t>
  </si>
  <si>
    <t>Eelarves kavandatud välistoetuste kaasrahastamine</t>
  </si>
  <si>
    <t>Tegelik välistoetuste kaasrahastamine</t>
  </si>
  <si>
    <t>Eelarves kavandatud saastekvootide müügist</t>
  </si>
  <si>
    <t>Tegelikult saadud saastekvootide müügist</t>
  </si>
  <si>
    <t>Saastekvootide müügist saadud eelarve ümberjaotamine</t>
  </si>
  <si>
    <t>Eelarves kavandatud majandustegevusest laekuv tulu</t>
  </si>
  <si>
    <t>Tegelikult majandustegevusest saadud tulu</t>
  </si>
  <si>
    <t>Eelarves kavandatud muud tuludest sõltuvad kulud</t>
  </si>
  <si>
    <t>Tegelikud muud tuludest sõltuvad kulud</t>
  </si>
  <si>
    <t>Taastuvenergia statistiliste ühikute eelarve ümberjaotamine</t>
  </si>
  <si>
    <t>Eelarves kavandatud edasiantavad maksud</t>
  </si>
  <si>
    <t>Tegelikud edasiantavad maksud</t>
  </si>
  <si>
    <t xml:space="preserve">Saadud Vabariigi Valitsuse reservfondist </t>
  </si>
  <si>
    <t xml:space="preserve">Vabariigi Valitsuse reservfondi vahendite ümberjaotamine </t>
  </si>
  <si>
    <t>Antud Vabariigi valitsuse reservfondi</t>
  </si>
  <si>
    <t>Omandireformi reservfondi vahendite ümberjaotamine</t>
  </si>
  <si>
    <t>Saadud omandireformi reservfondist</t>
  </si>
  <si>
    <t>Kokku lõplik eelarve</t>
  </si>
  <si>
    <t>Tulud</t>
  </si>
  <si>
    <t>Kulud, investeeringud</t>
  </si>
  <si>
    <t>Eelarve täitmise ja raamatupidamisaruannete võrdlus</t>
  </si>
  <si>
    <t>Kirje</t>
  </si>
  <si>
    <t>RE aruanne 2024</t>
  </si>
  <si>
    <t>Vahe 2024</t>
  </si>
  <si>
    <t>Selgitus</t>
  </si>
  <si>
    <t>RE aruanne 2023</t>
  </si>
  <si>
    <t>Vahe 2023</t>
  </si>
  <si>
    <t>Maksud ja sotsiaalkindlustusmaksed</t>
  </si>
  <si>
    <t>Kasum/kahjum põhivara ja varude müügist</t>
  </si>
  <si>
    <t>3sisesed</t>
  </si>
  <si>
    <t>Finantstulud</t>
  </si>
  <si>
    <t>Tegevuskulud, v.a käibemaksukulu</t>
  </si>
  <si>
    <t>4,5,6sisesed</t>
  </si>
  <si>
    <t>Finantskulud</t>
  </si>
  <si>
    <t>Käibemaksukulu tegevuskuludelt</t>
  </si>
  <si>
    <t>15ettemaksed</t>
  </si>
  <si>
    <t>Käibemaksukulu investeeringutelt</t>
  </si>
  <si>
    <t>Osaluste soetus</t>
  </si>
  <si>
    <t>Lisa 1</t>
  </si>
  <si>
    <t>Lisa 2</t>
  </si>
  <si>
    <t>Kultuuriministeeriumi valitsemisala 2024. aasta riigieelarve täitmise arunne</t>
  </si>
  <si>
    <t>Raamatupidamis-andmed 2024</t>
  </si>
  <si>
    <t>Raamatupidamis-andmed 2023</t>
  </si>
  <si>
    <t>rv 01</t>
  </si>
  <si>
    <t>sisesed tehingud eelarve täitmise aruandes elimineerimata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</si>
</sst>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rgb="FF0000FF"/>
      <name val="Times New Roman"/>
      <family val="1"/>
      <charset val="186"/>
    </font>
    <font>
      <b/>
      <sz val="12"/>
      <color theme="5" tint="-0.499984740745262"/>
      <name val="Times New Roman"/>
      <family val="1"/>
      <charset val="186"/>
    </font>
    <font>
      <sz val="12"/>
      <color theme="5" tint="-0.499984740745262"/>
      <name val="Times New Roman"/>
      <family val="1"/>
      <charset val="186"/>
    </font>
    <font>
      <sz val="11"/>
      <name val="Aptos Narrow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1"/>
      <color theme="0"/>
      <name val="Aptos Narrow"/>
      <family val="2"/>
      <charset val="186"/>
      <scheme val="minor"/>
    </font>
    <font>
      <sz val="11"/>
      <color theme="0"/>
      <name val="Aptos Narrow"/>
      <family val="2"/>
      <charset val="186"/>
      <scheme val="minor"/>
    </font>
    <font>
      <sz val="10"/>
      <color theme="0"/>
      <name val="Times New Roman"/>
      <family val="1"/>
      <charset val="186"/>
    </font>
    <font>
      <b/>
      <sz val="10"/>
      <color theme="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80">
    <xf numFmtId="0" fontId="0" fillId="0" borderId="0" xfId="0"/>
    <xf numFmtId="3" fontId="4" fillId="0" borderId="1" xfId="0" applyNumberFormat="1" applyFont="1" applyBorder="1" applyAlignment="1">
      <alignment horizontal="right"/>
    </xf>
    <xf numFmtId="3" fontId="3" fillId="2" borderId="1" xfId="2" applyNumberFormat="1" applyFont="1" applyFill="1" applyBorder="1" applyAlignment="1" applyProtection="1">
      <alignment horizontal="right"/>
      <protection locked="0"/>
    </xf>
    <xf numFmtId="3" fontId="3" fillId="0" borderId="1" xfId="0" applyNumberFormat="1" applyFont="1" applyBorder="1" applyAlignment="1">
      <alignment horizontal="right"/>
    </xf>
    <xf numFmtId="0" fontId="2" fillId="0" borderId="1" xfId="2" applyFont="1" applyBorder="1" applyAlignment="1" applyProtection="1">
      <alignment horizontal="left"/>
      <protection locked="0"/>
    </xf>
    <xf numFmtId="0" fontId="4" fillId="0" borderId="1" xfId="2" applyFont="1" applyBorder="1" applyAlignment="1" applyProtection="1">
      <alignment horizontal="center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2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2" fillId="0" borderId="1" xfId="0" applyFont="1" applyBorder="1"/>
    <xf numFmtId="0" fontId="3" fillId="0" borderId="1" xfId="0" applyFont="1" applyBorder="1" applyAlignment="1" applyProtection="1">
      <alignment horizontal="left" vertical="top" indent="3"/>
      <protection locked="0"/>
    </xf>
    <xf numFmtId="0" fontId="2" fillId="0" borderId="1" xfId="3" applyFont="1" applyBorder="1" applyAlignment="1" applyProtection="1">
      <alignment horizontal="left"/>
      <protection locked="0"/>
    </xf>
    <xf numFmtId="0" fontId="3" fillId="0" borderId="1" xfId="3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2" fillId="0" borderId="1" xfId="4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3" fillId="0" borderId="1" xfId="4" applyFont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left"/>
    </xf>
    <xf numFmtId="3" fontId="8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3" fontId="5" fillId="2" borderId="1" xfId="2" applyNumberFormat="1" applyFont="1" applyFill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left"/>
      <protection locked="0"/>
    </xf>
    <xf numFmtId="3" fontId="4" fillId="2" borderId="1" xfId="0" applyNumberFormat="1" applyFont="1" applyFill="1" applyBorder="1" applyAlignment="1">
      <alignment horizontal="right"/>
    </xf>
    <xf numFmtId="3" fontId="4" fillId="2" borderId="1" xfId="2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10" fillId="0" borderId="0" xfId="0" applyNumberFormat="1" applyFont="1"/>
    <xf numFmtId="3" fontId="0" fillId="0" borderId="0" xfId="0" applyNumberFormat="1"/>
    <xf numFmtId="3" fontId="3" fillId="0" borderId="0" xfId="0" applyNumberFormat="1" applyFont="1"/>
    <xf numFmtId="0" fontId="11" fillId="0" borderId="0" xfId="0" applyFont="1"/>
    <xf numFmtId="0" fontId="12" fillId="0" borderId="0" xfId="0" applyFont="1"/>
    <xf numFmtId="0" fontId="12" fillId="0" borderId="1" xfId="0" applyFont="1" applyBorder="1" applyAlignment="1">
      <alignment vertical="top"/>
    </xf>
    <xf numFmtId="0" fontId="12" fillId="0" borderId="1" xfId="0" applyFont="1" applyBorder="1"/>
    <xf numFmtId="0" fontId="11" fillId="0" borderId="1" xfId="0" applyFont="1" applyBorder="1" applyAlignment="1">
      <alignment vertical="top"/>
    </xf>
    <xf numFmtId="0" fontId="6" fillId="0" borderId="0" xfId="0" quotePrefix="1" applyFont="1"/>
    <xf numFmtId="3" fontId="12" fillId="0" borderId="1" xfId="0" applyNumberFormat="1" applyFont="1" applyBorder="1"/>
    <xf numFmtId="3" fontId="12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vertical="top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4" fontId="6" fillId="0" borderId="0" xfId="0" applyNumberFormat="1" applyFont="1" applyAlignment="1">
      <alignment wrapText="1"/>
    </xf>
    <xf numFmtId="0" fontId="13" fillId="0" borderId="0" xfId="0" applyFont="1"/>
    <xf numFmtId="0" fontId="11" fillId="3" borderId="1" xfId="0" applyFont="1" applyFill="1" applyBorder="1" applyAlignment="1">
      <alignment vertical="top"/>
    </xf>
    <xf numFmtId="0" fontId="11" fillId="3" borderId="1" xfId="0" applyFont="1" applyFill="1" applyBorder="1" applyAlignment="1">
      <alignment horizontal="center" vertical="top"/>
    </xf>
    <xf numFmtId="4" fontId="11" fillId="3" borderId="1" xfId="0" applyNumberFormat="1" applyFont="1" applyFill="1" applyBorder="1" applyAlignment="1">
      <alignment horizontal="center" vertical="top" wrapText="1"/>
    </xf>
    <xf numFmtId="4" fontId="11" fillId="3" borderId="1" xfId="0" applyNumberFormat="1" applyFont="1" applyFill="1" applyBorder="1" applyAlignment="1">
      <alignment horizontal="center" vertical="top"/>
    </xf>
    <xf numFmtId="3" fontId="11" fillId="3" borderId="1" xfId="0" applyNumberFormat="1" applyFont="1" applyFill="1" applyBorder="1" applyAlignment="1">
      <alignment horizontal="center" vertical="top" wrapText="1"/>
    </xf>
    <xf numFmtId="0" fontId="0" fillId="3" borderId="1" xfId="0" applyFill="1" applyBorder="1" applyAlignment="1">
      <alignment vertical="top"/>
    </xf>
    <xf numFmtId="3" fontId="2" fillId="3" borderId="1" xfId="0" applyNumberFormat="1" applyFont="1" applyFill="1" applyBorder="1" applyAlignment="1">
      <alignment horizontal="center" vertical="top" wrapText="1"/>
    </xf>
    <xf numFmtId="4" fontId="14" fillId="2" borderId="1" xfId="0" applyNumberFormat="1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7" fillId="0" borderId="0" xfId="0" applyFont="1"/>
    <xf numFmtId="0" fontId="19" fillId="0" borderId="0" xfId="0" applyFont="1"/>
    <xf numFmtId="3" fontId="18" fillId="0" borderId="0" xfId="0" applyNumberFormat="1" applyFont="1" applyAlignment="1">
      <alignment vertical="top"/>
    </xf>
    <xf numFmtId="3" fontId="18" fillId="0" borderId="0" xfId="0" applyNumberFormat="1" applyFont="1"/>
    <xf numFmtId="43" fontId="17" fillId="0" borderId="0" xfId="1" applyFont="1"/>
    <xf numFmtId="43" fontId="16" fillId="0" borderId="0" xfId="1" applyFont="1"/>
    <xf numFmtId="3" fontId="5" fillId="0" borderId="1" xfId="2" applyNumberFormat="1" applyFont="1" applyBorder="1" applyAlignment="1" applyProtection="1">
      <alignment horizontal="right"/>
      <protection locked="0"/>
    </xf>
    <xf numFmtId="3" fontId="4" fillId="0" borderId="1" xfId="2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>
      <alignment horizontal="right"/>
    </xf>
    <xf numFmtId="3" fontId="2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17" fillId="0" borderId="0" xfId="0" applyNumberFormat="1" applyFont="1"/>
    <xf numFmtId="4" fontId="10" fillId="0" borderId="0" xfId="0" applyNumberFormat="1" applyFont="1" applyAlignment="1">
      <alignment wrapText="1"/>
    </xf>
    <xf numFmtId="4" fontId="10" fillId="0" borderId="0" xfId="0" applyNumberFormat="1" applyFont="1"/>
    <xf numFmtId="0" fontId="10" fillId="0" borderId="0" xfId="0" applyFont="1"/>
    <xf numFmtId="3" fontId="6" fillId="0" borderId="0" xfId="0" applyNumberFormat="1" applyFont="1"/>
    <xf numFmtId="4" fontId="12" fillId="0" borderId="2" xfId="0" applyNumberFormat="1" applyFont="1" applyBorder="1" applyAlignment="1">
      <alignment vertical="top"/>
    </xf>
    <xf numFmtId="3" fontId="12" fillId="0" borderId="2" xfId="0" applyNumberFormat="1" applyFont="1" applyBorder="1" applyAlignment="1">
      <alignment vertical="top"/>
    </xf>
  </cellXfs>
  <cellStyles count="5">
    <cellStyle name="Koma" xfId="1" builtinId="3"/>
    <cellStyle name="Normaallaad" xfId="0" builtinId="0"/>
    <cellStyle name="Normal 10 2" xfId="4" xr:uid="{AC90A528-BBC8-473F-8292-5343C135A973}"/>
    <cellStyle name="Normal 25 3 6" xfId="3" xr:uid="{FDE7958D-F30B-4552-BCC5-07BAB9E57000}"/>
    <cellStyle name="Normal 25 9" xfId="2" xr:uid="{7983BE0D-F488-41DC-A768-54608D2C3F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9AF15-A579-47C3-BA93-8EF27AA165F4}">
  <dimension ref="A1:H92"/>
  <sheetViews>
    <sheetView tabSelected="1" zoomScale="75" zoomScaleNormal="75" workbookViewId="0">
      <selection activeCell="A59" sqref="A59"/>
    </sheetView>
  </sheetViews>
  <sheetFormatPr defaultRowHeight="15" x14ac:dyDescent="0.25"/>
  <cols>
    <col min="1" max="1" width="78.42578125" bestFit="1" customWidth="1"/>
    <col min="2" max="2" width="65.28515625" bestFit="1" customWidth="1"/>
    <col min="3" max="3" width="15.5703125" customWidth="1"/>
    <col min="4" max="4" width="16.5703125" bestFit="1" customWidth="1"/>
    <col min="5" max="5" width="13.42578125" bestFit="1" customWidth="1"/>
    <col min="6" max="6" width="14.5703125" customWidth="1"/>
    <col min="7" max="7" width="15" customWidth="1"/>
    <col min="8" max="8" width="16.5703125" style="62" bestFit="1" customWidth="1"/>
  </cols>
  <sheetData>
    <row r="1" spans="1:8" ht="20.25" x14ac:dyDescent="0.3">
      <c r="A1" s="52" t="s">
        <v>132</v>
      </c>
      <c r="C1" s="37"/>
      <c r="D1" s="38"/>
      <c r="E1" s="73"/>
      <c r="F1" s="38"/>
      <c r="G1" s="39"/>
    </row>
    <row r="2" spans="1:8" ht="15.75" x14ac:dyDescent="0.25">
      <c r="A2" t="s">
        <v>76</v>
      </c>
      <c r="C2" s="37"/>
      <c r="D2" s="38"/>
      <c r="E2" s="38"/>
      <c r="F2" s="38"/>
      <c r="G2" s="39"/>
    </row>
    <row r="3" spans="1:8" ht="15.75" x14ac:dyDescent="0.25">
      <c r="C3" s="37"/>
      <c r="D3" s="38"/>
      <c r="E3" s="38"/>
      <c r="F3" s="38"/>
      <c r="G3" s="39"/>
    </row>
    <row r="4" spans="1:8" ht="15.75" x14ac:dyDescent="0.25">
      <c r="C4" s="37"/>
      <c r="D4" s="38"/>
      <c r="E4" s="38"/>
      <c r="F4" s="38"/>
      <c r="G4" s="39"/>
    </row>
    <row r="5" spans="1:8" ht="47.25" x14ac:dyDescent="0.25">
      <c r="A5" s="58"/>
      <c r="B5" s="58"/>
      <c r="C5" s="59" t="s">
        <v>77</v>
      </c>
      <c r="D5" s="59" t="s">
        <v>78</v>
      </c>
      <c r="E5" s="59" t="s">
        <v>79</v>
      </c>
      <c r="F5" s="59" t="s">
        <v>80</v>
      </c>
      <c r="G5" s="59" t="s">
        <v>81</v>
      </c>
    </row>
    <row r="6" spans="1:8" ht="15.75" x14ac:dyDescent="0.25">
      <c r="A6" s="4" t="s">
        <v>0</v>
      </c>
      <c r="B6" s="4"/>
      <c r="C6" s="68">
        <f>SUM(C7:C11)</f>
        <v>13315175</v>
      </c>
      <c r="D6" s="68">
        <f t="shared" ref="D6:G6" si="0">SUM(D7:D11)</f>
        <v>13315175</v>
      </c>
      <c r="E6" s="68">
        <f>SUM(E7:E11)</f>
        <v>15253518.220000003</v>
      </c>
      <c r="F6" s="68">
        <f t="shared" si="0"/>
        <v>10209318.979999999</v>
      </c>
      <c r="G6" s="68">
        <f t="shared" si="0"/>
        <v>1938343.2200000007</v>
      </c>
      <c r="H6" s="66"/>
    </row>
    <row r="7" spans="1:8" ht="15.75" x14ac:dyDescent="0.25">
      <c r="A7" s="5"/>
      <c r="B7" s="6" t="s">
        <v>1</v>
      </c>
      <c r="C7" s="69">
        <v>7200</v>
      </c>
      <c r="D7" s="69">
        <f>C7</f>
        <v>7200</v>
      </c>
      <c r="E7" s="69">
        <v>8860</v>
      </c>
      <c r="F7" s="69">
        <v>7530</v>
      </c>
      <c r="G7" s="69">
        <f>E7-D7</f>
        <v>1660</v>
      </c>
      <c r="H7" s="66"/>
    </row>
    <row r="8" spans="1:8" ht="15.75" x14ac:dyDescent="0.25">
      <c r="A8" s="5"/>
      <c r="B8" s="6" t="s">
        <v>2</v>
      </c>
      <c r="C8" s="69">
        <v>2371628</v>
      </c>
      <c r="D8" s="69">
        <f t="shared" ref="D8:D11" si="1">C8</f>
        <v>2371628</v>
      </c>
      <c r="E8" s="69">
        <f>3124306.72+143707.29-9796.64</f>
        <v>3258217.37</v>
      </c>
      <c r="F8" s="69">
        <f>3122913+142798.52-1378.82</f>
        <v>3264332.7</v>
      </c>
      <c r="G8" s="69">
        <f t="shared" ref="G8:G11" si="2">E8-D8</f>
        <v>886589.37000000011</v>
      </c>
      <c r="H8" s="66"/>
    </row>
    <row r="9" spans="1:8" ht="15.75" x14ac:dyDescent="0.25">
      <c r="A9" s="5"/>
      <c r="B9" s="6" t="s">
        <v>3</v>
      </c>
      <c r="C9" s="69">
        <v>10936347</v>
      </c>
      <c r="D9" s="69">
        <f t="shared" si="1"/>
        <v>10936347</v>
      </c>
      <c r="E9" s="69">
        <f>13349380.22-972648.17-4762.74-7607.2-383983.72</f>
        <v>11980378.390000001</v>
      </c>
      <c r="F9" s="69">
        <f>7647658.3-4826.4-651518.67-58950.24</f>
        <v>6932362.9899999993</v>
      </c>
      <c r="G9" s="69">
        <f t="shared" si="2"/>
        <v>1044031.3900000006</v>
      </c>
      <c r="H9" s="66"/>
    </row>
    <row r="10" spans="1:8" ht="15.75" x14ac:dyDescent="0.25">
      <c r="A10" s="5"/>
      <c r="B10" s="6" t="s">
        <v>4</v>
      </c>
      <c r="C10" s="69">
        <v>0</v>
      </c>
      <c r="D10" s="69">
        <f t="shared" si="1"/>
        <v>0</v>
      </c>
      <c r="E10" s="69">
        <v>4851.47</v>
      </c>
      <c r="F10" s="69">
        <f>37.65+4465.03</f>
        <v>4502.6799999999994</v>
      </c>
      <c r="G10" s="69">
        <f t="shared" si="2"/>
        <v>4851.47</v>
      </c>
      <c r="H10" s="66"/>
    </row>
    <row r="11" spans="1:8" ht="15.75" x14ac:dyDescent="0.25">
      <c r="A11" s="5"/>
      <c r="B11" s="6" t="s">
        <v>5</v>
      </c>
      <c r="C11" s="69">
        <v>0</v>
      </c>
      <c r="D11" s="69">
        <f t="shared" si="1"/>
        <v>0</v>
      </c>
      <c r="E11" s="69">
        <v>1210.99</v>
      </c>
      <c r="F11" s="69">
        <v>590.61</v>
      </c>
      <c r="G11" s="69">
        <f t="shared" si="2"/>
        <v>1210.99</v>
      </c>
      <c r="H11" s="66"/>
    </row>
    <row r="12" spans="1:8" ht="15.75" x14ac:dyDescent="0.25">
      <c r="A12" s="4" t="s">
        <v>6</v>
      </c>
      <c r="B12" s="4"/>
      <c r="C12" s="68">
        <f>C14+C22+C64+C86</f>
        <v>-361480048</v>
      </c>
      <c r="D12" s="68">
        <f>D14+D22+D64+D86</f>
        <v>-473453431.61999995</v>
      </c>
      <c r="E12" s="68">
        <f>E14+E22+E64+E86</f>
        <v>-376297636.95999992</v>
      </c>
      <c r="F12" s="68">
        <f>F14+F22+F64+F86</f>
        <v>-363860924.18000001</v>
      </c>
      <c r="G12" s="68">
        <f>G14+G22+G64+G86</f>
        <v>97155794.660000041</v>
      </c>
      <c r="H12" s="66">
        <f>E12+E65+1049847.65</f>
        <v>-375821130.85999995</v>
      </c>
    </row>
    <row r="13" spans="1:8" ht="15.75" x14ac:dyDescent="0.25">
      <c r="A13" s="5"/>
      <c r="B13" s="6" t="s">
        <v>7</v>
      </c>
      <c r="C13" s="69">
        <f>C15+C23+C87</f>
        <v>-290715813</v>
      </c>
      <c r="D13" s="69">
        <f>D15+D23+D87</f>
        <v>-344068137.30999994</v>
      </c>
      <c r="E13" s="69">
        <f>E15+E23+E87</f>
        <v>-302137940.38000005</v>
      </c>
      <c r="F13" s="69">
        <f>F15+F23+F87</f>
        <v>-307247873.5</v>
      </c>
      <c r="G13" s="69">
        <f>G15+G23+G87</f>
        <v>41930196.929999962</v>
      </c>
      <c r="H13" s="66"/>
    </row>
    <row r="14" spans="1:8" ht="15.75" x14ac:dyDescent="0.25">
      <c r="A14" s="7" t="s">
        <v>8</v>
      </c>
      <c r="B14" s="7"/>
      <c r="C14" s="70">
        <f>C18+C20</f>
        <v>-16534987</v>
      </c>
      <c r="D14" s="70">
        <f t="shared" ref="D14:G15" si="3">D18+D20</f>
        <v>-19978686.07</v>
      </c>
      <c r="E14" s="70">
        <f t="shared" si="3"/>
        <v>-14057837.08</v>
      </c>
      <c r="F14" s="70">
        <f t="shared" si="3"/>
        <v>-11275004</v>
      </c>
      <c r="G14" s="70">
        <f t="shared" si="3"/>
        <v>5920848.9900000002</v>
      </c>
      <c r="H14" s="66"/>
    </row>
    <row r="15" spans="1:8" ht="15.75" x14ac:dyDescent="0.25">
      <c r="A15" s="7"/>
      <c r="B15" s="6" t="s">
        <v>7</v>
      </c>
      <c r="C15" s="1">
        <f>C19+C21</f>
        <v>-5421732</v>
      </c>
      <c r="D15" s="1">
        <f t="shared" si="3"/>
        <v>-12874099.120000001</v>
      </c>
      <c r="E15" s="1">
        <f t="shared" si="3"/>
        <v>-8378179.79</v>
      </c>
      <c r="F15" s="1">
        <f t="shared" si="3"/>
        <v>-9857295</v>
      </c>
      <c r="G15" s="1">
        <f t="shared" si="3"/>
        <v>4495919.330000001</v>
      </c>
      <c r="H15" s="66"/>
    </row>
    <row r="16" spans="1:8" ht="15.75" x14ac:dyDescent="0.25">
      <c r="A16" s="8" t="s">
        <v>9</v>
      </c>
      <c r="B16" s="8"/>
      <c r="C16" s="70">
        <f>C18+C20</f>
        <v>-16534987</v>
      </c>
      <c r="D16" s="70">
        <f t="shared" ref="D16:G17" si="4">D18+D20</f>
        <v>-19978686.07</v>
      </c>
      <c r="E16" s="70">
        <f t="shared" si="4"/>
        <v>-14057837.08</v>
      </c>
      <c r="F16" s="70">
        <f t="shared" si="4"/>
        <v>-11275004</v>
      </c>
      <c r="G16" s="70">
        <f t="shared" si="4"/>
        <v>5920848.9900000002</v>
      </c>
      <c r="H16" s="66"/>
    </row>
    <row r="17" spans="1:8" ht="15.75" x14ac:dyDescent="0.25">
      <c r="A17" s="8"/>
      <c r="B17" s="6" t="s">
        <v>7</v>
      </c>
      <c r="C17" s="1">
        <f>C19+C21</f>
        <v>-5421732</v>
      </c>
      <c r="D17" s="1">
        <f t="shared" si="4"/>
        <v>-12874099.120000001</v>
      </c>
      <c r="E17" s="1">
        <f t="shared" si="4"/>
        <v>-8378179.79</v>
      </c>
      <c r="F17" s="1">
        <f t="shared" si="4"/>
        <v>-9857295</v>
      </c>
      <c r="G17" s="1">
        <f t="shared" si="4"/>
        <v>4495919.330000001</v>
      </c>
      <c r="H17" s="66"/>
    </row>
    <row r="18" spans="1:8" ht="15.75" x14ac:dyDescent="0.25">
      <c r="A18" s="9" t="s">
        <v>10</v>
      </c>
      <c r="B18" s="10"/>
      <c r="C18" s="1">
        <v>-16309987</v>
      </c>
      <c r="D18" s="69">
        <f>C18+11113255-14480126.57</f>
        <v>-19676858.57</v>
      </c>
      <c r="E18" s="1">
        <v>-13883931.24</v>
      </c>
      <c r="F18" s="1">
        <v>-11204823</v>
      </c>
      <c r="G18" s="69">
        <f t="shared" ref="G18:G21" si="5">E18-D18</f>
        <v>5792927.3300000001</v>
      </c>
      <c r="H18" s="66" t="s">
        <v>11</v>
      </c>
    </row>
    <row r="19" spans="1:8" ht="15.75" x14ac:dyDescent="0.25">
      <c r="A19" s="11"/>
      <c r="B19" s="6" t="s">
        <v>7</v>
      </c>
      <c r="C19" s="1">
        <v>-5196732</v>
      </c>
      <c r="D19" s="69">
        <f>C19-7375539.62</f>
        <v>-12572271.620000001</v>
      </c>
      <c r="E19" s="1">
        <v>-8204273.9500000002</v>
      </c>
      <c r="F19" s="1">
        <v>-9787114</v>
      </c>
      <c r="G19" s="69">
        <f t="shared" si="5"/>
        <v>4367997.6700000009</v>
      </c>
      <c r="H19" s="66"/>
    </row>
    <row r="20" spans="1:8" ht="15.75" x14ac:dyDescent="0.25">
      <c r="A20" s="12" t="s">
        <v>12</v>
      </c>
      <c r="B20" s="6"/>
      <c r="C20" s="69">
        <v>-225000</v>
      </c>
      <c r="D20" s="69">
        <f>C20-76827.5</f>
        <v>-301827.5</v>
      </c>
      <c r="E20" s="69">
        <v>-173905.84</v>
      </c>
      <c r="F20" s="69">
        <v>-70181</v>
      </c>
      <c r="G20" s="69">
        <f t="shared" si="5"/>
        <v>127921.66</v>
      </c>
      <c r="H20" s="66" t="s">
        <v>13</v>
      </c>
    </row>
    <row r="21" spans="1:8" ht="15.75" x14ac:dyDescent="0.25">
      <c r="A21" s="5"/>
      <c r="B21" s="6" t="s">
        <v>7</v>
      </c>
      <c r="C21" s="69">
        <v>-225000</v>
      </c>
      <c r="D21" s="69">
        <f>C21-76827.5</f>
        <v>-301827.5</v>
      </c>
      <c r="E21" s="69">
        <v>-173905.84</v>
      </c>
      <c r="F21" s="69">
        <v>-70181</v>
      </c>
      <c r="G21" s="69">
        <f t="shared" si="5"/>
        <v>127921.66</v>
      </c>
      <c r="H21" s="66"/>
    </row>
    <row r="22" spans="1:8" ht="15.75" x14ac:dyDescent="0.25">
      <c r="A22" s="7" t="s">
        <v>14</v>
      </c>
      <c r="B22" s="7"/>
      <c r="C22" s="71">
        <f t="shared" ref="C22:G23" si="6">C24+C56</f>
        <v>-342802709</v>
      </c>
      <c r="D22" s="71">
        <f t="shared" si="6"/>
        <v>-451405020.18999994</v>
      </c>
      <c r="E22" s="71">
        <f t="shared" si="6"/>
        <v>-360725165.51999998</v>
      </c>
      <c r="F22" s="71">
        <f t="shared" si="6"/>
        <v>-350364418</v>
      </c>
      <c r="G22" s="71">
        <f t="shared" si="6"/>
        <v>90679854.669999987</v>
      </c>
      <c r="H22" s="67"/>
    </row>
    <row r="23" spans="1:8" ht="15.75" x14ac:dyDescent="0.25">
      <c r="A23" s="10"/>
      <c r="B23" s="6" t="s">
        <v>7</v>
      </c>
      <c r="C23" s="72">
        <f t="shared" si="6"/>
        <v>-285294081</v>
      </c>
      <c r="D23" s="72">
        <f t="shared" si="6"/>
        <v>-331194038.18999994</v>
      </c>
      <c r="E23" s="72">
        <f t="shared" si="6"/>
        <v>-293759760.56999999</v>
      </c>
      <c r="F23" s="72">
        <f t="shared" si="6"/>
        <v>-297390578.5</v>
      </c>
      <c r="G23" s="72">
        <f t="shared" si="6"/>
        <v>37434277.61999999</v>
      </c>
      <c r="H23" s="66"/>
    </row>
    <row r="24" spans="1:8" ht="15.75" x14ac:dyDescent="0.25">
      <c r="A24" s="8" t="s">
        <v>15</v>
      </c>
      <c r="B24" s="7"/>
      <c r="C24" s="70">
        <f>C26+C28+C30+C32+C34+C36+C38+C40+C42+C44+C46+C48+C50+C52+C54</f>
        <v>-296253341</v>
      </c>
      <c r="D24" s="70">
        <f t="shared" ref="D24:G25" si="7">D26+D28+D30+D32+D34+D36+D38+D40+D42+D44+D46+D48+D50+D52+D54</f>
        <v>-388390873.02999997</v>
      </c>
      <c r="E24" s="70">
        <f t="shared" si="7"/>
        <v>-300927036.22999996</v>
      </c>
      <c r="F24" s="70">
        <f t="shared" si="7"/>
        <v>-298369370</v>
      </c>
      <c r="G24" s="70">
        <f t="shared" si="7"/>
        <v>87463836.799999982</v>
      </c>
      <c r="H24" s="66"/>
    </row>
    <row r="25" spans="1:8" ht="15.75" x14ac:dyDescent="0.25">
      <c r="A25" s="7"/>
      <c r="B25" s="6" t="s">
        <v>7</v>
      </c>
      <c r="C25" s="1">
        <f>C27+C29+C31+C33+C35+C37+C39+C41+C43+C45+C47+C49+C51+C53+C55</f>
        <v>-242808463</v>
      </c>
      <c r="D25" s="1">
        <f t="shared" si="7"/>
        <v>-272254141.02999997</v>
      </c>
      <c r="E25" s="1">
        <f t="shared" si="7"/>
        <v>-237909675.58000001</v>
      </c>
      <c r="F25" s="1">
        <f t="shared" si="7"/>
        <v>-249196144.5</v>
      </c>
      <c r="G25" s="1">
        <f t="shared" si="7"/>
        <v>34344465.449999996</v>
      </c>
      <c r="H25" s="66"/>
    </row>
    <row r="26" spans="1:8" ht="15.75" x14ac:dyDescent="0.25">
      <c r="A26" s="13" t="s">
        <v>16</v>
      </c>
      <c r="B26" s="6"/>
      <c r="C26" s="1">
        <v>-3559147</v>
      </c>
      <c r="D26" s="69">
        <f t="shared" ref="D26:D53" si="8">C26</f>
        <v>-3559147</v>
      </c>
      <c r="E26" s="1">
        <v>-3455454.07</v>
      </c>
      <c r="F26" s="1">
        <f>-2215146-936423</f>
        <v>-3151569</v>
      </c>
      <c r="G26" s="69">
        <f t="shared" ref="G26:G55" si="9">E26-D26</f>
        <v>103692.93000000017</v>
      </c>
      <c r="H26" s="66" t="s">
        <v>17</v>
      </c>
    </row>
    <row r="27" spans="1:8" ht="15.75" x14ac:dyDescent="0.25">
      <c r="A27" s="13"/>
      <c r="B27" s="6" t="s">
        <v>7</v>
      </c>
      <c r="C27" s="1">
        <v>-291000</v>
      </c>
      <c r="D27" s="69">
        <f t="shared" si="8"/>
        <v>-291000</v>
      </c>
      <c r="E27" s="1">
        <v>-255613.95</v>
      </c>
      <c r="F27" s="1">
        <v>-289890</v>
      </c>
      <c r="G27" s="69">
        <f t="shared" si="9"/>
        <v>35386.049999999988</v>
      </c>
      <c r="H27" s="66"/>
    </row>
    <row r="28" spans="1:8" ht="15.75" x14ac:dyDescent="0.25">
      <c r="A28" s="13" t="s">
        <v>18</v>
      </c>
      <c r="B28" s="6"/>
      <c r="C28" s="1">
        <v>-10409913</v>
      </c>
      <c r="D28" s="69">
        <f>C28-654+44000-324673.94</f>
        <v>-10691240.939999999</v>
      </c>
      <c r="E28" s="1">
        <v>-10350024.73</v>
      </c>
      <c r="F28" s="1">
        <f>-5867760+531-2865152</f>
        <v>-8732381</v>
      </c>
      <c r="G28" s="69">
        <f t="shared" si="9"/>
        <v>341216.20999999903</v>
      </c>
      <c r="H28" s="66" t="s">
        <v>19</v>
      </c>
    </row>
    <row r="29" spans="1:8" ht="15.75" x14ac:dyDescent="0.25">
      <c r="A29" s="13"/>
      <c r="B29" s="6" t="s">
        <v>7</v>
      </c>
      <c r="C29" s="1">
        <v>-7291663</v>
      </c>
      <c r="D29" s="69">
        <f>C29-654-18843</f>
        <v>-7311160</v>
      </c>
      <c r="E29" s="1">
        <v>-7257539.3399999999</v>
      </c>
      <c r="F29" s="1">
        <f>-5772264+531</f>
        <v>-5771733</v>
      </c>
      <c r="G29" s="69">
        <f t="shared" si="9"/>
        <v>53620.660000000149</v>
      </c>
      <c r="H29" s="66"/>
    </row>
    <row r="30" spans="1:8" ht="15.75" x14ac:dyDescent="0.25">
      <c r="A30" s="13" t="s">
        <v>20</v>
      </c>
      <c r="B30" s="6"/>
      <c r="C30" s="1">
        <v>-48280765</v>
      </c>
      <c r="D30" s="69">
        <f>C30+3000000-9120190.11</f>
        <v>-54400955.109999999</v>
      </c>
      <c r="E30" s="1">
        <v>-48214024.229999997</v>
      </c>
      <c r="F30" s="1">
        <f>-45278237-3040491</f>
        <v>-48318728</v>
      </c>
      <c r="G30" s="69">
        <f t="shared" si="9"/>
        <v>6186930.8800000027</v>
      </c>
      <c r="H30" s="66" t="s">
        <v>21</v>
      </c>
    </row>
    <row r="31" spans="1:8" ht="15.75" x14ac:dyDescent="0.25">
      <c r="A31" s="13"/>
      <c r="B31" s="6" t="s">
        <v>7</v>
      </c>
      <c r="C31" s="1">
        <v>-42029765</v>
      </c>
      <c r="D31" s="69">
        <f>C31-120190.11</f>
        <v>-42149955.109999999</v>
      </c>
      <c r="E31" s="1">
        <v>-41919589.630000003</v>
      </c>
      <c r="F31" s="1">
        <v>-45278237</v>
      </c>
      <c r="G31" s="69">
        <f t="shared" si="9"/>
        <v>230365.47999999672</v>
      </c>
      <c r="H31" s="66"/>
    </row>
    <row r="32" spans="1:8" ht="15.75" x14ac:dyDescent="0.25">
      <c r="A32" s="13" t="s">
        <v>22</v>
      </c>
      <c r="B32" s="6"/>
      <c r="C32" s="1">
        <v>-20604363</v>
      </c>
      <c r="D32" s="69">
        <f>C32-2606972.38</f>
        <v>-23211335.379999999</v>
      </c>
      <c r="E32" s="1">
        <v>-18340598.199999999</v>
      </c>
      <c r="F32" s="1">
        <f>-13166286-3625275</f>
        <v>-16791561</v>
      </c>
      <c r="G32" s="69">
        <f t="shared" si="9"/>
        <v>4870737.18</v>
      </c>
      <c r="H32" s="66" t="s">
        <v>23</v>
      </c>
    </row>
    <row r="33" spans="1:8" ht="15.75" x14ac:dyDescent="0.25">
      <c r="A33" s="13"/>
      <c r="B33" s="6" t="s">
        <v>7</v>
      </c>
      <c r="C33" s="1">
        <v>-16717363</v>
      </c>
      <c r="D33" s="69">
        <f>C33-2606972.38</f>
        <v>-19324335.379999999</v>
      </c>
      <c r="E33" s="1">
        <v>-14566417.26</v>
      </c>
      <c r="F33" s="1">
        <v>-13166286</v>
      </c>
      <c r="G33" s="69">
        <f t="shared" si="9"/>
        <v>4757918.1199999992</v>
      </c>
      <c r="H33" s="66"/>
    </row>
    <row r="34" spans="1:8" ht="15.75" x14ac:dyDescent="0.25">
      <c r="A34" s="13" t="s">
        <v>24</v>
      </c>
      <c r="B34" s="6"/>
      <c r="C34" s="1">
        <v>-18471795</v>
      </c>
      <c r="D34" s="69">
        <f>C34+1000-655875.91</f>
        <v>-19126670.91</v>
      </c>
      <c r="E34" s="1">
        <v>-18688878.280000001</v>
      </c>
      <c r="F34" s="1">
        <f>-14959205-3625275</f>
        <v>-18584480</v>
      </c>
      <c r="G34" s="69">
        <f t="shared" si="9"/>
        <v>437792.62999999896</v>
      </c>
      <c r="H34" s="66" t="s">
        <v>25</v>
      </c>
    </row>
    <row r="35" spans="1:8" ht="15.75" x14ac:dyDescent="0.25">
      <c r="A35" s="13"/>
      <c r="B35" s="6" t="s">
        <v>7</v>
      </c>
      <c r="C35" s="1">
        <v>-14583795</v>
      </c>
      <c r="D35" s="69">
        <f>C35-650654</f>
        <v>-15234449</v>
      </c>
      <c r="E35" s="1">
        <v>-14908697.34</v>
      </c>
      <c r="F35" s="1">
        <v>-14959205</v>
      </c>
      <c r="G35" s="69">
        <f t="shared" si="9"/>
        <v>325751.66000000015</v>
      </c>
      <c r="H35" s="66"/>
    </row>
    <row r="36" spans="1:8" ht="15.75" x14ac:dyDescent="0.25">
      <c r="A36" s="13" t="s">
        <v>26</v>
      </c>
      <c r="B36" s="6"/>
      <c r="C36" s="1">
        <v>-5983017</v>
      </c>
      <c r="D36" s="69">
        <f>C36-2692+5000-465897</f>
        <v>-6446606</v>
      </c>
      <c r="E36" s="1">
        <v>-6320015.0499999998</v>
      </c>
      <c r="F36" s="1">
        <f>-3046014-3449936</f>
        <v>-6495950</v>
      </c>
      <c r="G36" s="69">
        <f t="shared" si="9"/>
        <v>126590.95000000019</v>
      </c>
      <c r="H36" s="66" t="s">
        <v>27</v>
      </c>
    </row>
    <row r="37" spans="1:8" ht="15.75" x14ac:dyDescent="0.25">
      <c r="A37" s="13"/>
      <c r="B37" s="6" t="s">
        <v>7</v>
      </c>
      <c r="C37" s="1">
        <v>-2267767</v>
      </c>
      <c r="D37" s="69">
        <f>C37-2692-431738</f>
        <v>-2702197</v>
      </c>
      <c r="E37" s="1">
        <v>-2698697.47</v>
      </c>
      <c r="F37" s="1">
        <v>-3022014</v>
      </c>
      <c r="G37" s="69">
        <f t="shared" si="9"/>
        <v>3499.5299999997951</v>
      </c>
      <c r="H37" s="66"/>
    </row>
    <row r="38" spans="1:8" ht="15.75" x14ac:dyDescent="0.25">
      <c r="A38" s="13" t="s">
        <v>28</v>
      </c>
      <c r="B38" s="6"/>
      <c r="C38" s="1">
        <v>-2629500</v>
      </c>
      <c r="D38" s="69">
        <f>C38-40000-2082</f>
        <v>-2671582</v>
      </c>
      <c r="E38" s="1">
        <v>-2593646.0499999998</v>
      </c>
      <c r="F38" s="1">
        <f>-362159-2105029</f>
        <v>-2467188</v>
      </c>
      <c r="G38" s="69">
        <f t="shared" si="9"/>
        <v>77935.950000000186</v>
      </c>
      <c r="H38" s="66" t="s">
        <v>29</v>
      </c>
    </row>
    <row r="39" spans="1:8" ht="15.75" x14ac:dyDescent="0.25">
      <c r="A39" s="13"/>
      <c r="B39" s="6" t="s">
        <v>7</v>
      </c>
      <c r="C39" s="1">
        <v>-368000</v>
      </c>
      <c r="D39" s="69">
        <f>C39-40000-2082</f>
        <v>-410082</v>
      </c>
      <c r="E39" s="1">
        <v>-398682.83</v>
      </c>
      <c r="F39" s="1">
        <v>-362159</v>
      </c>
      <c r="G39" s="69">
        <f t="shared" si="9"/>
        <v>11399.169999999984</v>
      </c>
      <c r="H39" s="66"/>
    </row>
    <row r="40" spans="1:8" ht="15.75" x14ac:dyDescent="0.25">
      <c r="A40" s="13" t="s">
        <v>30</v>
      </c>
      <c r="B40" s="6"/>
      <c r="C40" s="1">
        <v>-44175792</v>
      </c>
      <c r="D40" s="69">
        <f>C40-1113080</f>
        <v>-45288872</v>
      </c>
      <c r="E40" s="1">
        <v>-45243617.490000002</v>
      </c>
      <c r="F40" s="1">
        <v>-47333330</v>
      </c>
      <c r="G40" s="69">
        <f t="shared" si="9"/>
        <v>45254.509999997914</v>
      </c>
      <c r="H40" s="66" t="s">
        <v>31</v>
      </c>
    </row>
    <row r="41" spans="1:8" ht="15.75" x14ac:dyDescent="0.25">
      <c r="A41" s="13"/>
      <c r="B41" s="6" t="s">
        <v>7</v>
      </c>
      <c r="C41" s="1">
        <v>-44175792</v>
      </c>
      <c r="D41" s="69">
        <f>C41-1113080</f>
        <v>-45288872</v>
      </c>
      <c r="E41" s="1">
        <v>-45243617.490000002</v>
      </c>
      <c r="F41" s="1">
        <v>-47333330</v>
      </c>
      <c r="G41" s="69">
        <f t="shared" si="9"/>
        <v>45254.509999997914</v>
      </c>
      <c r="H41" s="66"/>
    </row>
    <row r="42" spans="1:8" ht="15.75" x14ac:dyDescent="0.25">
      <c r="A42" s="13" t="s">
        <v>32</v>
      </c>
      <c r="B42" s="6"/>
      <c r="C42" s="1">
        <v>-37128577</v>
      </c>
      <c r="D42" s="69">
        <f>C42-8686181.52</f>
        <v>-45814758.519999996</v>
      </c>
      <c r="E42" s="1">
        <v>-39093106.810000002</v>
      </c>
      <c r="F42" s="1">
        <f>-44657616-5641</f>
        <v>-44663257</v>
      </c>
      <c r="G42" s="69">
        <f t="shared" si="9"/>
        <v>6721651.7099999934</v>
      </c>
      <c r="H42" s="66" t="s">
        <v>33</v>
      </c>
    </row>
    <row r="43" spans="1:8" ht="15.75" x14ac:dyDescent="0.25">
      <c r="A43" s="13"/>
      <c r="B43" s="6" t="s">
        <v>7</v>
      </c>
      <c r="C43" s="1">
        <v>-37128577</v>
      </c>
      <c r="D43" s="69">
        <f>C43-3686181.52</f>
        <v>-40814758.520000003</v>
      </c>
      <c r="E43" s="1">
        <v>-34093106.810000002</v>
      </c>
      <c r="F43" s="1">
        <f>-44657616-5641</f>
        <v>-44663257</v>
      </c>
      <c r="G43" s="69">
        <f t="shared" si="9"/>
        <v>6721651.7100000009</v>
      </c>
      <c r="H43" s="66"/>
    </row>
    <row r="44" spans="1:8" ht="15.75" x14ac:dyDescent="0.25">
      <c r="A44" s="13" t="s">
        <v>34</v>
      </c>
      <c r="B44" s="6"/>
      <c r="C44" s="1">
        <v>-11414375</v>
      </c>
      <c r="D44" s="69">
        <f>C44+32779+53000-984699.04</f>
        <v>-12313295.039999999</v>
      </c>
      <c r="E44" s="1">
        <v>-11281374.91</v>
      </c>
      <c r="F44" s="1">
        <f>-11347014+16852-3446937</f>
        <v>-14777099</v>
      </c>
      <c r="G44" s="69">
        <f t="shared" si="9"/>
        <v>1031920.129999999</v>
      </c>
      <c r="H44" s="66" t="s">
        <v>35</v>
      </c>
    </row>
    <row r="45" spans="1:8" ht="15.75" x14ac:dyDescent="0.25">
      <c r="A45" s="13"/>
      <c r="B45" s="6" t="s">
        <v>7</v>
      </c>
      <c r="C45" s="1">
        <v>-7651125</v>
      </c>
      <c r="D45" s="69">
        <f>C45+32779-705532.48</f>
        <v>-8323878.4800000004</v>
      </c>
      <c r="E45" s="1">
        <v>-7545786.0700000003</v>
      </c>
      <c r="F45" s="1">
        <f>-11197074+16852</f>
        <v>-11180222</v>
      </c>
      <c r="G45" s="69">
        <f t="shared" si="9"/>
        <v>778092.41000000015</v>
      </c>
      <c r="H45" s="66"/>
    </row>
    <row r="46" spans="1:8" ht="15.75" x14ac:dyDescent="0.25">
      <c r="A46" s="13" t="s">
        <v>36</v>
      </c>
      <c r="B46" s="6"/>
      <c r="C46" s="1">
        <v>-53071355</v>
      </c>
      <c r="D46" s="69">
        <f>C46+200000+5700-177085+3150805-66325702.12-1.78</f>
        <v>-116217638.90000001</v>
      </c>
      <c r="E46" s="1">
        <v>-58783898.189999998</v>
      </c>
      <c r="F46" s="1">
        <f>-55305819</f>
        <v>-55305819</v>
      </c>
      <c r="G46" s="69">
        <f t="shared" si="9"/>
        <v>57433740.710000008</v>
      </c>
      <c r="H46" s="66" t="s">
        <v>37</v>
      </c>
    </row>
    <row r="47" spans="1:8" ht="15.75" x14ac:dyDescent="0.25">
      <c r="A47" s="13"/>
      <c r="B47" s="6" t="s">
        <v>7</v>
      </c>
      <c r="C47" s="1">
        <v>-48974726</v>
      </c>
      <c r="D47" s="69">
        <f>C47+200000+5700-177085-14241383.88-0.67</f>
        <v>-63187495.550000004</v>
      </c>
      <c r="E47" s="1">
        <v>-49879199.990000002</v>
      </c>
      <c r="F47" s="1">
        <f>-47464606-34347+2.5</f>
        <v>-47498950.5</v>
      </c>
      <c r="G47" s="69">
        <f t="shared" si="9"/>
        <v>13308295.560000002</v>
      </c>
      <c r="H47" s="66"/>
    </row>
    <row r="48" spans="1:8" ht="15.75" x14ac:dyDescent="0.25">
      <c r="A48" s="13" t="s">
        <v>38</v>
      </c>
      <c r="B48" s="6"/>
      <c r="C48" s="1">
        <v>-20000</v>
      </c>
      <c r="D48" s="69">
        <f>C48-2176954.69</f>
        <v>-2196954.69</v>
      </c>
      <c r="E48" s="1">
        <v>-889066.03</v>
      </c>
      <c r="F48" s="1">
        <v>-224021</v>
      </c>
      <c r="G48" s="69">
        <f t="shared" si="9"/>
        <v>1307888.6599999999</v>
      </c>
      <c r="H48" s="66" t="s">
        <v>39</v>
      </c>
    </row>
    <row r="49" spans="1:8" ht="15.75" x14ac:dyDescent="0.25">
      <c r="A49" s="13"/>
      <c r="B49" s="6" t="s">
        <v>7</v>
      </c>
      <c r="C49" s="1">
        <v>-20000</v>
      </c>
      <c r="D49" s="69">
        <f>C49-21504.69</f>
        <v>-41504.69</v>
      </c>
      <c r="E49" s="1">
        <v>-253.22</v>
      </c>
      <c r="F49" s="1">
        <v>-224021</v>
      </c>
      <c r="G49" s="69">
        <f t="shared" si="9"/>
        <v>41251.47</v>
      </c>
      <c r="H49" s="66"/>
    </row>
    <row r="50" spans="1:8" ht="15.75" x14ac:dyDescent="0.25">
      <c r="A50" s="13" t="s">
        <v>40</v>
      </c>
      <c r="B50" s="6"/>
      <c r="C50" s="1">
        <v>-7620970</v>
      </c>
      <c r="D50" s="69">
        <f>C50+654+73700-442051.61</f>
        <v>-7988667.6100000003</v>
      </c>
      <c r="E50" s="1">
        <v>-7545664.3600000003</v>
      </c>
      <c r="F50" s="1">
        <v>-4856454</v>
      </c>
      <c r="G50" s="69">
        <f t="shared" si="9"/>
        <v>443003.25</v>
      </c>
      <c r="H50" s="66" t="s">
        <v>41</v>
      </c>
    </row>
    <row r="51" spans="1:8" ht="15.75" x14ac:dyDescent="0.25">
      <c r="A51" s="13"/>
      <c r="B51" s="6" t="s">
        <v>7</v>
      </c>
      <c r="C51" s="1">
        <v>-7547270</v>
      </c>
      <c r="D51" s="69">
        <f>C51+654-325546.25</f>
        <v>-7872162.25</v>
      </c>
      <c r="E51" s="1">
        <v>-7431373.7999999998</v>
      </c>
      <c r="F51" s="1">
        <v>-4811450</v>
      </c>
      <c r="G51" s="69">
        <f t="shared" si="9"/>
        <v>440788.45000000019</v>
      </c>
      <c r="H51" s="66"/>
    </row>
    <row r="52" spans="1:8" ht="15.75" x14ac:dyDescent="0.25">
      <c r="A52" s="13" t="s">
        <v>42</v>
      </c>
      <c r="B52" s="6"/>
      <c r="C52" s="1">
        <v>-1830000</v>
      </c>
      <c r="D52" s="69">
        <f>C52+1830000-1867384.57</f>
        <v>-1867384.57</v>
      </c>
      <c r="E52" s="1">
        <v>-1867384.57</v>
      </c>
      <c r="F52" s="1">
        <v>-1199710</v>
      </c>
      <c r="G52" s="69">
        <f t="shared" si="9"/>
        <v>0</v>
      </c>
      <c r="H52" s="66" t="s">
        <v>43</v>
      </c>
    </row>
    <row r="53" spans="1:8" ht="15.75" x14ac:dyDescent="0.25">
      <c r="A53" s="13"/>
      <c r="B53" s="6" t="s">
        <v>7</v>
      </c>
      <c r="C53" s="1">
        <v>0</v>
      </c>
      <c r="D53" s="69">
        <f t="shared" si="8"/>
        <v>0</v>
      </c>
      <c r="E53" s="1">
        <v>0</v>
      </c>
      <c r="F53" s="1">
        <v>0</v>
      </c>
      <c r="G53" s="69">
        <f t="shared" si="9"/>
        <v>0</v>
      </c>
      <c r="H53" s="66"/>
    </row>
    <row r="54" spans="1:8" ht="15.75" x14ac:dyDescent="0.25">
      <c r="A54" s="13" t="s">
        <v>44</v>
      </c>
      <c r="B54" s="6"/>
      <c r="C54" s="1">
        <v>-31053772</v>
      </c>
      <c r="D54" s="69">
        <f>C54+1466566+2575864+213426-9797848.36</f>
        <v>-36595764.359999999</v>
      </c>
      <c r="E54" s="1">
        <v>-28260283.260000002</v>
      </c>
      <c r="F54" s="1">
        <f>-11421482-14046341</f>
        <v>-25467823</v>
      </c>
      <c r="G54" s="69">
        <f t="shared" si="9"/>
        <v>8335481.0999999978</v>
      </c>
      <c r="H54" s="66" t="s">
        <v>45</v>
      </c>
    </row>
    <row r="55" spans="1:8" ht="15.75" x14ac:dyDescent="0.25">
      <c r="A55" s="10"/>
      <c r="B55" s="6" t="s">
        <v>7</v>
      </c>
      <c r="C55" s="1">
        <v>-13761620</v>
      </c>
      <c r="D55" s="69">
        <f>C55+1466566+2575864-9583101.05</f>
        <v>-19302291.050000001</v>
      </c>
      <c r="E55" s="1">
        <v>-11711100.380000001</v>
      </c>
      <c r="F55" s="1">
        <v>-10635390</v>
      </c>
      <c r="G55" s="69">
        <f t="shared" si="9"/>
        <v>7591190.6699999999</v>
      </c>
      <c r="H55" s="66"/>
    </row>
    <row r="56" spans="1:8" ht="15.75" x14ac:dyDescent="0.25">
      <c r="A56" s="14" t="s">
        <v>46</v>
      </c>
      <c r="B56" s="7"/>
      <c r="C56" s="70">
        <f>C58+C60+C62</f>
        <v>-46549368</v>
      </c>
      <c r="D56" s="70">
        <f t="shared" ref="D56:G57" si="10">D58+D60+D62</f>
        <v>-63014147.159999996</v>
      </c>
      <c r="E56" s="70">
        <f t="shared" si="10"/>
        <v>-59798129.289999999</v>
      </c>
      <c r="F56" s="70">
        <f t="shared" si="10"/>
        <v>-51995048</v>
      </c>
      <c r="G56" s="70">
        <f t="shared" si="10"/>
        <v>3216017.8699999992</v>
      </c>
      <c r="H56" s="66"/>
    </row>
    <row r="57" spans="1:8" ht="15.75" x14ac:dyDescent="0.25">
      <c r="A57" s="11"/>
      <c r="B57" s="6" t="s">
        <v>7</v>
      </c>
      <c r="C57" s="1">
        <f>C59+C61+C63</f>
        <v>-42485618</v>
      </c>
      <c r="D57" s="1">
        <f t="shared" si="10"/>
        <v>-58939897.159999996</v>
      </c>
      <c r="E57" s="1">
        <f t="shared" si="10"/>
        <v>-55850084.990000002</v>
      </c>
      <c r="F57" s="1">
        <f t="shared" si="10"/>
        <v>-48194434</v>
      </c>
      <c r="G57" s="1">
        <f t="shared" si="10"/>
        <v>3089812.1699999962</v>
      </c>
      <c r="H57" s="66"/>
    </row>
    <row r="58" spans="1:8" ht="15.75" x14ac:dyDescent="0.25">
      <c r="A58" s="13" t="s">
        <v>47</v>
      </c>
      <c r="B58" s="9"/>
      <c r="C58" s="1">
        <v>-42941945</v>
      </c>
      <c r="D58" s="69">
        <f>C58+1554913-4834504.9</f>
        <v>-46221536.899999999</v>
      </c>
      <c r="E58" s="69">
        <v>-43390950.039999999</v>
      </c>
      <c r="F58" s="69">
        <f>-40859190-3800614</f>
        <v>-44659804</v>
      </c>
      <c r="G58" s="69">
        <f t="shared" ref="G58:G63" si="11">E58-D58</f>
        <v>2830586.8599999994</v>
      </c>
      <c r="H58" s="66" t="s">
        <v>48</v>
      </c>
    </row>
    <row r="59" spans="1:8" ht="15.75" x14ac:dyDescent="0.25">
      <c r="A59" s="13"/>
      <c r="B59" s="6" t="s">
        <v>7</v>
      </c>
      <c r="C59" s="1">
        <v>-38878195</v>
      </c>
      <c r="D59" s="69">
        <f>C59+1554913-4834504.9</f>
        <v>-42157786.899999999</v>
      </c>
      <c r="E59" s="69">
        <v>-39442905.740000002</v>
      </c>
      <c r="F59" s="69">
        <v>-40859190</v>
      </c>
      <c r="G59" s="69">
        <f t="shared" si="11"/>
        <v>2714881.1599999964</v>
      </c>
      <c r="H59" s="66"/>
    </row>
    <row r="60" spans="1:8" ht="15.75" x14ac:dyDescent="0.25">
      <c r="A60" s="13" t="s">
        <v>49</v>
      </c>
      <c r="B60" s="10"/>
      <c r="C60" s="1">
        <v>-360000</v>
      </c>
      <c r="D60" s="69">
        <f>C60-10500</f>
        <v>-370500</v>
      </c>
      <c r="E60" s="1">
        <v>-360000</v>
      </c>
      <c r="F60" s="1">
        <v>-309403</v>
      </c>
      <c r="G60" s="69">
        <f t="shared" si="11"/>
        <v>10500</v>
      </c>
      <c r="H60" s="66" t="s">
        <v>50</v>
      </c>
    </row>
    <row r="61" spans="1:8" ht="15.75" x14ac:dyDescent="0.25">
      <c r="A61" s="13"/>
      <c r="B61" s="6" t="s">
        <v>7</v>
      </c>
      <c r="C61" s="1">
        <v>-360000</v>
      </c>
      <c r="D61" s="69">
        <f t="shared" ref="D61" si="12">C61</f>
        <v>-360000</v>
      </c>
      <c r="E61" s="1">
        <v>-360000</v>
      </c>
      <c r="F61" s="1">
        <v>-309403</v>
      </c>
      <c r="G61" s="69">
        <f t="shared" si="11"/>
        <v>0</v>
      </c>
      <c r="H61" s="66"/>
    </row>
    <row r="62" spans="1:8" ht="15.75" x14ac:dyDescent="0.25">
      <c r="A62" s="13" t="s">
        <v>51</v>
      </c>
      <c r="B62" s="6"/>
      <c r="C62" s="1">
        <v>-3247423</v>
      </c>
      <c r="D62" s="69">
        <f>C62-1913-13172774.26</f>
        <v>-16422110.26</v>
      </c>
      <c r="E62" s="1">
        <v>-16047179.25</v>
      </c>
      <c r="F62" s="1">
        <v>-7025841</v>
      </c>
      <c r="G62" s="69">
        <f t="shared" si="11"/>
        <v>374931.00999999978</v>
      </c>
      <c r="H62" s="66" t="s">
        <v>52</v>
      </c>
    </row>
    <row r="63" spans="1:8" ht="15.75" x14ac:dyDescent="0.25">
      <c r="A63" s="15"/>
      <c r="B63" s="6" t="s">
        <v>7</v>
      </c>
      <c r="C63" s="1">
        <v>-3247423</v>
      </c>
      <c r="D63" s="69">
        <f>C63-1913-13172774.26</f>
        <v>-16422110.26</v>
      </c>
      <c r="E63" s="1">
        <v>-16047179.25</v>
      </c>
      <c r="F63" s="1">
        <v>-7025841</v>
      </c>
      <c r="G63" s="69">
        <f t="shared" si="11"/>
        <v>374931.00999999978</v>
      </c>
      <c r="H63" s="66"/>
    </row>
    <row r="64" spans="1:8" ht="15.75" x14ac:dyDescent="0.25">
      <c r="A64" s="7" t="s">
        <v>53</v>
      </c>
      <c r="B64" s="4"/>
      <c r="C64" s="70">
        <v>-2142352</v>
      </c>
      <c r="D64" s="70">
        <f>C64+38000+200066-165439.36</f>
        <v>-2069725.3599999999</v>
      </c>
      <c r="E64" s="70">
        <v>-1514634.23</v>
      </c>
      <c r="F64" s="70">
        <v>-2221502.1800000002</v>
      </c>
      <c r="G64" s="68">
        <f>E64-D64</f>
        <v>555091.12999999989</v>
      </c>
      <c r="H64" s="67"/>
    </row>
    <row r="65" spans="1:8" ht="15.75" x14ac:dyDescent="0.25">
      <c r="A65" s="7" t="s">
        <v>54</v>
      </c>
      <c r="B65" s="4"/>
      <c r="C65" s="70">
        <v>-43000</v>
      </c>
      <c r="D65" s="70">
        <f>C65-42950-623632-42000-402117.44</f>
        <v>-1153699.44</v>
      </c>
      <c r="E65" s="70">
        <f>-475121.63-98219.92</f>
        <v>-573341.55000000005</v>
      </c>
      <c r="F65" s="70">
        <f>-164285.02-22434</f>
        <v>-186719.02</v>
      </c>
      <c r="G65" s="68">
        <f>E65-D65</f>
        <v>580357.8899999999</v>
      </c>
      <c r="H65" s="67"/>
    </row>
    <row r="66" spans="1:8" ht="15.75" x14ac:dyDescent="0.25">
      <c r="A66" s="10"/>
      <c r="B66" s="6" t="s">
        <v>7</v>
      </c>
      <c r="C66" s="1">
        <v>-43000</v>
      </c>
      <c r="D66" s="69">
        <f>C66-42950-623632-42000</f>
        <v>-751582</v>
      </c>
      <c r="E66" s="1">
        <v>-343680.19</v>
      </c>
      <c r="F66" s="1">
        <v>-132705.65</v>
      </c>
      <c r="G66" s="69">
        <f t="shared" ref="G66:G67" si="13">E66-D66</f>
        <v>407901.81</v>
      </c>
      <c r="H66" s="66"/>
    </row>
    <row r="67" spans="1:8" ht="15.75" x14ac:dyDescent="0.25">
      <c r="A67" s="10"/>
      <c r="B67" s="6" t="s">
        <v>55</v>
      </c>
      <c r="C67" s="1">
        <v>0</v>
      </c>
      <c r="D67" s="69">
        <v>-28904.48</v>
      </c>
      <c r="E67" s="1">
        <v>-98219.92</v>
      </c>
      <c r="F67" s="1">
        <v>-22434</v>
      </c>
      <c r="G67" s="69">
        <f t="shared" si="13"/>
        <v>-69315.44</v>
      </c>
      <c r="H67" s="66"/>
    </row>
    <row r="68" spans="1:8" ht="15.75" x14ac:dyDescent="0.25">
      <c r="A68" s="16" t="s">
        <v>56</v>
      </c>
      <c r="B68" s="16"/>
      <c r="C68" s="68">
        <f>C70</f>
        <v>0</v>
      </c>
      <c r="D68" s="68">
        <f t="shared" ref="D68:G69" si="14">D70</f>
        <v>0</v>
      </c>
      <c r="E68" s="68">
        <f t="shared" si="14"/>
        <v>-447376.4</v>
      </c>
      <c r="F68" s="68">
        <f t="shared" si="14"/>
        <v>0</v>
      </c>
      <c r="G68" s="68">
        <f t="shared" si="14"/>
        <v>-447376.4</v>
      </c>
      <c r="H68" s="66"/>
    </row>
    <row r="69" spans="1:8" ht="15.75" hidden="1" x14ac:dyDescent="0.25">
      <c r="A69" s="17"/>
      <c r="B69" s="6" t="s">
        <v>7</v>
      </c>
      <c r="C69" s="69">
        <f>C71</f>
        <v>0</v>
      </c>
      <c r="D69" s="69">
        <f t="shared" si="14"/>
        <v>0</v>
      </c>
      <c r="E69" s="69">
        <f t="shared" si="14"/>
        <v>0</v>
      </c>
      <c r="F69" s="69">
        <f t="shared" si="14"/>
        <v>0</v>
      </c>
      <c r="G69" s="69">
        <f t="shared" si="14"/>
        <v>0</v>
      </c>
      <c r="H69" s="66"/>
    </row>
    <row r="70" spans="1:8" ht="15.75" x14ac:dyDescent="0.25">
      <c r="A70" s="18" t="s">
        <v>57</v>
      </c>
      <c r="B70" s="6"/>
      <c r="C70" s="69">
        <v>0</v>
      </c>
      <c r="D70" s="1">
        <f t="shared" ref="D70" si="15">C70</f>
        <v>0</v>
      </c>
      <c r="E70" s="72">
        <v>-447376.4</v>
      </c>
      <c r="F70" s="72">
        <v>0</v>
      </c>
      <c r="G70" s="69">
        <f t="shared" ref="G70" si="16">E70-D70</f>
        <v>-447376.4</v>
      </c>
      <c r="H70" s="66" t="s">
        <v>135</v>
      </c>
    </row>
    <row r="71" spans="1:8" ht="15.75" hidden="1" x14ac:dyDescent="0.25">
      <c r="A71" s="18"/>
      <c r="B71" s="6" t="s">
        <v>7</v>
      </c>
      <c r="C71" s="69">
        <v>0</v>
      </c>
      <c r="D71" s="69">
        <v>0</v>
      </c>
      <c r="E71" s="69">
        <v>0</v>
      </c>
      <c r="F71" s="69">
        <v>0</v>
      </c>
      <c r="G71" s="69">
        <v>0</v>
      </c>
      <c r="H71" s="66"/>
    </row>
    <row r="72" spans="1:8" ht="15.75" x14ac:dyDescent="0.25">
      <c r="A72" s="19" t="s">
        <v>58</v>
      </c>
      <c r="B72" s="19"/>
      <c r="C72" s="68"/>
      <c r="D72" s="68"/>
      <c r="E72" s="68">
        <f>SUM(E73:E83)</f>
        <v>44867166.890000001</v>
      </c>
      <c r="F72" s="68">
        <f>SUM(F73:F83)</f>
        <v>40495885.859999999</v>
      </c>
      <c r="G72" s="68"/>
      <c r="H72" s="66"/>
    </row>
    <row r="73" spans="1:8" ht="15.75" x14ac:dyDescent="0.25">
      <c r="A73" s="20"/>
      <c r="B73" s="21" t="s">
        <v>59</v>
      </c>
      <c r="C73" s="69"/>
      <c r="D73" s="69"/>
      <c r="E73" s="69">
        <v>45351772.369999997</v>
      </c>
      <c r="F73" s="69">
        <v>37898065.979999997</v>
      </c>
      <c r="G73" s="69"/>
      <c r="H73" s="66"/>
    </row>
    <row r="74" spans="1:8" ht="15.75" x14ac:dyDescent="0.25">
      <c r="A74" s="20"/>
      <c r="B74" s="21" t="s">
        <v>60</v>
      </c>
      <c r="C74" s="69"/>
      <c r="D74" s="69"/>
      <c r="E74" s="69">
        <f>-45351772.37--44188214</f>
        <v>-1163558.3699999973</v>
      </c>
      <c r="F74" s="69">
        <f>-37898065.98--40944474</f>
        <v>3046408.0200000033</v>
      </c>
      <c r="G74" s="69"/>
      <c r="H74" s="66"/>
    </row>
    <row r="75" spans="1:8" ht="15.75" x14ac:dyDescent="0.25">
      <c r="A75" s="20"/>
      <c r="B75" s="6" t="s">
        <v>61</v>
      </c>
      <c r="C75" s="69"/>
      <c r="D75" s="72"/>
      <c r="E75" s="69">
        <v>4762.74</v>
      </c>
      <c r="F75" s="69">
        <v>4826.3999999999996</v>
      </c>
      <c r="G75" s="3"/>
      <c r="H75" s="66"/>
    </row>
    <row r="76" spans="1:8" ht="15.75" x14ac:dyDescent="0.25">
      <c r="A76" s="20"/>
      <c r="B76" s="6" t="s">
        <v>62</v>
      </c>
      <c r="C76" s="69"/>
      <c r="D76" s="72"/>
      <c r="E76" s="69">
        <v>7607.2</v>
      </c>
      <c r="F76" s="69">
        <v>0</v>
      </c>
      <c r="G76" s="3"/>
      <c r="H76" s="66"/>
    </row>
    <row r="77" spans="1:8" ht="15.75" x14ac:dyDescent="0.25">
      <c r="A77" s="20"/>
      <c r="B77" s="6" t="s">
        <v>63</v>
      </c>
      <c r="C77" s="69"/>
      <c r="D77" s="72"/>
      <c r="E77" s="69">
        <v>383983.72</v>
      </c>
      <c r="F77" s="69">
        <v>58950.239999999998</v>
      </c>
      <c r="G77" s="3"/>
      <c r="H77" s="66"/>
    </row>
    <row r="78" spans="1:8" ht="15.75" x14ac:dyDescent="0.25">
      <c r="A78" s="20"/>
      <c r="B78" s="6" t="s">
        <v>64</v>
      </c>
      <c r="C78" s="69"/>
      <c r="D78" s="72"/>
      <c r="E78" s="69">
        <f>-1342.44-7607.2</f>
        <v>-8949.64</v>
      </c>
      <c r="F78" s="69">
        <v>0</v>
      </c>
      <c r="G78" s="3"/>
      <c r="H78" s="66"/>
    </row>
    <row r="79" spans="1:8" ht="15.75" x14ac:dyDescent="0.25">
      <c r="A79" s="20"/>
      <c r="B79" s="6" t="s">
        <v>65</v>
      </c>
      <c r="C79" s="69"/>
      <c r="D79" s="72"/>
      <c r="E79" s="69">
        <v>0</v>
      </c>
      <c r="F79" s="69">
        <v>1094040</v>
      </c>
      <c r="G79" s="3"/>
      <c r="H79" s="66"/>
    </row>
    <row r="80" spans="1:8" ht="15.75" x14ac:dyDescent="0.25">
      <c r="A80" s="20"/>
      <c r="B80" s="6" t="s">
        <v>66</v>
      </c>
      <c r="C80" s="69"/>
      <c r="D80" s="72"/>
      <c r="E80" s="69">
        <v>0</v>
      </c>
      <c r="F80" s="69">
        <v>-1100000</v>
      </c>
      <c r="G80" s="3"/>
      <c r="H80" s="66"/>
    </row>
    <row r="81" spans="1:8" ht="15.75" x14ac:dyDescent="0.25">
      <c r="A81" s="20"/>
      <c r="B81" s="6" t="s">
        <v>67</v>
      </c>
      <c r="C81" s="69"/>
      <c r="D81" s="72"/>
      <c r="E81" s="69">
        <v>9796.64</v>
      </c>
      <c r="F81" s="69">
        <v>1378.82</v>
      </c>
      <c r="G81" s="3"/>
      <c r="H81" s="66"/>
    </row>
    <row r="82" spans="1:8" ht="15.75" x14ac:dyDescent="0.25">
      <c r="A82" s="20"/>
      <c r="B82" s="6" t="s">
        <v>68</v>
      </c>
      <c r="C82" s="69"/>
      <c r="D82" s="72"/>
      <c r="E82" s="69">
        <v>-9796.64</v>
      </c>
      <c r="F82" s="69">
        <v>-1378.82</v>
      </c>
      <c r="G82" s="3"/>
      <c r="H82" s="66"/>
    </row>
    <row r="83" spans="1:8" ht="15.75" x14ac:dyDescent="0.25">
      <c r="A83" s="20"/>
      <c r="B83" s="6" t="s">
        <v>69</v>
      </c>
      <c r="C83" s="69"/>
      <c r="D83" s="72"/>
      <c r="E83" s="69">
        <v>291548.87</v>
      </c>
      <c r="F83" s="69">
        <v>-506404.78</v>
      </c>
      <c r="G83" s="3"/>
      <c r="H83" s="66"/>
    </row>
    <row r="84" spans="1:8" ht="15.75" hidden="1" x14ac:dyDescent="0.25">
      <c r="A84" s="22" t="s">
        <v>70</v>
      </c>
      <c r="B84" s="23"/>
      <c r="C84" s="24"/>
      <c r="D84" s="25"/>
      <c r="E84" s="2"/>
      <c r="F84" s="2"/>
      <c r="G84" s="26"/>
      <c r="H84" s="66"/>
    </row>
    <row r="85" spans="1:8" ht="15.75" hidden="1" x14ac:dyDescent="0.25">
      <c r="A85" s="27" t="s">
        <v>71</v>
      </c>
      <c r="B85" s="27"/>
      <c r="C85" s="24"/>
      <c r="D85" s="28"/>
      <c r="E85" s="2"/>
      <c r="F85" s="2"/>
      <c r="G85" s="26"/>
      <c r="H85" s="66"/>
    </row>
    <row r="86" spans="1:8" ht="15.75" hidden="1" x14ac:dyDescent="0.25">
      <c r="A86" s="29"/>
      <c r="B86" s="22" t="s">
        <v>72</v>
      </c>
      <c r="C86" s="24">
        <v>0</v>
      </c>
      <c r="D86" s="60">
        <f>-95713957.93+424000-7265098.8-3000000-17589271.53-14000000+76827.5+14480126.57+4834504.9+10500+13172774.26+324673.94+9120190.11+2606972.38+655875.91+465897+2082+1113080+8686181.52+984699.04+66325702.12+2176954.69+442051.61+1867384.57+9797848.36+1.78</f>
        <v>6.7055228036849712E-10</v>
      </c>
      <c r="E86" s="24">
        <f>-44188214-330536335.53+972648.17-1049847.65+1342.44+7607.2+9796.64+173905.84+13883931.24+43390950.04+360000+16047179.25+3455454.07+10350024.73+48214024.23+18340598.2+18688878.28+6320015.05+2593646.05+45243617.49+39093106.81+11281374.91+58783898.19+889066.03+7545664.36+1867384.57+28260283.26</f>
        <v>-0.12999993190169334</v>
      </c>
      <c r="F86" s="24"/>
      <c r="G86" s="30">
        <f>E86-D86</f>
        <v>-0.12999993257224562</v>
      </c>
      <c r="H86" s="66"/>
    </row>
    <row r="87" spans="1:8" ht="15.75" hidden="1" x14ac:dyDescent="0.25">
      <c r="A87" s="29"/>
      <c r="B87" s="31" t="s">
        <v>7</v>
      </c>
      <c r="C87" s="32">
        <v>0</v>
      </c>
      <c r="D87" s="61">
        <f>-49113520.03+424000-7265098.8-3000000-11837.48+76827.5+7375539.62+4834504.9+13172774.26+18843+120190.11+2606972.38+650654+431738+2082+1113080+3686181.52+705532.48+14241383.88+21504.69+325546.25+9583101.05+0.67</f>
        <v>-1.7881393032936899E-9</v>
      </c>
      <c r="E87" s="33">
        <f>-302137940.38+173905.84+8204273.95+39442905.74+360000+16047179.25+255613.95+7257539.34+41919589.63+14566417.26+14908697.34+2698697.47+398682.83+45243617.49+34093106.81+7545786.07+49879199.99+253.22+7431373.8+11711100.38</f>
        <v>-2.0000023767352104E-2</v>
      </c>
      <c r="F87" s="33"/>
      <c r="G87" s="33">
        <f>E87-D87</f>
        <v>-2.0000021979212801E-2</v>
      </c>
      <c r="H87" s="66"/>
    </row>
    <row r="88" spans="1:8" ht="15.75" hidden="1" x14ac:dyDescent="0.25">
      <c r="A88" s="29"/>
      <c r="B88" s="22" t="s">
        <v>73</v>
      </c>
      <c r="C88" s="24">
        <v>0</v>
      </c>
      <c r="D88" s="24">
        <v>0</v>
      </c>
      <c r="E88" s="24">
        <v>0</v>
      </c>
      <c r="F88" s="24">
        <v>0</v>
      </c>
      <c r="G88" s="30">
        <f>E88-D88</f>
        <v>0</v>
      </c>
      <c r="H88" s="66"/>
    </row>
    <row r="89" spans="1:8" ht="15.75" hidden="1" x14ac:dyDescent="0.25">
      <c r="A89" s="29"/>
      <c r="B89" s="31" t="s">
        <v>7</v>
      </c>
      <c r="C89" s="32">
        <v>0</v>
      </c>
      <c r="D89" s="32">
        <v>0</v>
      </c>
      <c r="E89" s="32">
        <v>0</v>
      </c>
      <c r="F89" s="32">
        <v>0</v>
      </c>
      <c r="G89" s="33">
        <f>E89-D89</f>
        <v>0</v>
      </c>
      <c r="H89" s="66"/>
    </row>
    <row r="90" spans="1:8" ht="15.75" hidden="1" x14ac:dyDescent="0.25">
      <c r="A90" s="34"/>
      <c r="B90" s="29" t="s">
        <v>74</v>
      </c>
      <c r="C90" s="32"/>
      <c r="D90" s="35"/>
      <c r="E90" s="2">
        <f>E6+E12+E67+E72-E80</f>
        <v>-316275171.76999992</v>
      </c>
      <c r="F90" s="2">
        <f>F6+F12+F67+F72-F80</f>
        <v>-312078153.33999997</v>
      </c>
      <c r="G90" s="26"/>
      <c r="H90" s="66"/>
    </row>
    <row r="91" spans="1:8" ht="15.75" hidden="1" x14ac:dyDescent="0.25">
      <c r="A91" s="34"/>
      <c r="B91" s="29" t="s">
        <v>75</v>
      </c>
      <c r="C91" s="32"/>
      <c r="D91" s="35"/>
      <c r="E91" s="2">
        <f>-316566720.64+291548.87</f>
        <v>-316275171.76999998</v>
      </c>
      <c r="F91" s="2">
        <v>-312078153.82999998</v>
      </c>
      <c r="G91" s="26"/>
      <c r="H91" s="66"/>
    </row>
    <row r="92" spans="1:8" ht="15.75" hidden="1" x14ac:dyDescent="0.25">
      <c r="A92" s="7"/>
      <c r="B92" s="10"/>
      <c r="C92" s="1"/>
      <c r="D92" s="36"/>
      <c r="E92" s="2">
        <f>E90-E91</f>
        <v>0</v>
      </c>
      <c r="F92" s="2">
        <f>F90-F91</f>
        <v>0.49000000953674316</v>
      </c>
      <c r="G92" s="3"/>
      <c r="H92" s="6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5994A-5334-4AA8-8CDE-9778FA6E8902}">
  <dimension ref="A1:C35"/>
  <sheetViews>
    <sheetView topLeftCell="A3" workbookViewId="0">
      <selection activeCell="I13" sqref="I13"/>
    </sheetView>
  </sheetViews>
  <sheetFormatPr defaultRowHeight="15" x14ac:dyDescent="0.25"/>
  <cols>
    <col min="1" max="1" width="58.28515625" customWidth="1"/>
    <col min="2" max="2" width="9.85546875" bestFit="1" customWidth="1"/>
    <col min="3" max="3" width="14.85546875" customWidth="1"/>
  </cols>
  <sheetData>
    <row r="1" spans="1:3" x14ac:dyDescent="0.25">
      <c r="A1" s="40" t="s">
        <v>130</v>
      </c>
    </row>
    <row r="2" spans="1:3" x14ac:dyDescent="0.25">
      <c r="A2" s="40" t="s">
        <v>82</v>
      </c>
    </row>
    <row r="3" spans="1:3" x14ac:dyDescent="0.25">
      <c r="A3" s="41" t="s">
        <v>76</v>
      </c>
      <c r="C3" s="45"/>
    </row>
    <row r="4" spans="1:3" s="62" customFormat="1" x14ac:dyDescent="0.25">
      <c r="A4" s="63"/>
      <c r="B4" s="64">
        <v>11</v>
      </c>
      <c r="C4" s="64">
        <v>11</v>
      </c>
    </row>
    <row r="5" spans="1:3" ht="25.5" x14ac:dyDescent="0.25">
      <c r="A5" s="53"/>
      <c r="B5" s="57" t="s">
        <v>110</v>
      </c>
      <c r="C5" s="57" t="s">
        <v>111</v>
      </c>
    </row>
    <row r="6" spans="1:3" x14ac:dyDescent="0.25">
      <c r="A6" s="42" t="s">
        <v>83</v>
      </c>
      <c r="B6" s="46">
        <f>RETA!C6</f>
        <v>13315175</v>
      </c>
      <c r="C6" s="46">
        <f>RETA!C12+RETA!C65</f>
        <v>-361523048</v>
      </c>
    </row>
    <row r="7" spans="1:3" x14ac:dyDescent="0.25">
      <c r="A7" s="42" t="s">
        <v>84</v>
      </c>
      <c r="B7" s="46"/>
      <c r="C7" s="46">
        <f>95332908*-1</f>
        <v>-95332908</v>
      </c>
    </row>
    <row r="8" spans="1:3" x14ac:dyDescent="0.25">
      <c r="A8" s="42" t="s">
        <v>85</v>
      </c>
      <c r="B8" s="46"/>
      <c r="C8" s="46"/>
    </row>
    <row r="9" spans="1:3" x14ac:dyDescent="0.25">
      <c r="A9" s="42" t="s">
        <v>86</v>
      </c>
      <c r="B9" s="46"/>
      <c r="C9" s="46">
        <v>1704566</v>
      </c>
    </row>
    <row r="10" spans="1:3" x14ac:dyDescent="0.25">
      <c r="A10" s="42" t="s">
        <v>87</v>
      </c>
      <c r="B10" s="46"/>
      <c r="C10" s="46">
        <v>3318234</v>
      </c>
    </row>
    <row r="11" spans="1:3" x14ac:dyDescent="0.25">
      <c r="A11" s="43" t="s">
        <v>88</v>
      </c>
      <c r="B11" s="46"/>
      <c r="C11" s="46">
        <v>5700</v>
      </c>
    </row>
    <row r="12" spans="1:3" x14ac:dyDescent="0.25">
      <c r="A12" s="43" t="s">
        <v>89</v>
      </c>
      <c r="B12" s="46"/>
      <c r="C12" s="46">
        <v>-7307098.7999999998</v>
      </c>
    </row>
    <row r="13" spans="1:3" x14ac:dyDescent="0.25">
      <c r="A13" s="42" t="s">
        <v>90</v>
      </c>
      <c r="B13" s="46"/>
      <c r="C13" s="47">
        <v>10936347</v>
      </c>
    </row>
    <row r="14" spans="1:3" x14ac:dyDescent="0.25">
      <c r="A14" s="42" t="s">
        <v>91</v>
      </c>
      <c r="B14" s="46"/>
      <c r="C14" s="47">
        <v>-12835925.65</v>
      </c>
    </row>
    <row r="15" spans="1:3" x14ac:dyDescent="0.25">
      <c r="A15" s="42" t="s">
        <v>92</v>
      </c>
      <c r="B15" s="46"/>
      <c r="C15" s="47">
        <f>11536047-10936347+2923200</f>
        <v>3522900</v>
      </c>
    </row>
    <row r="16" spans="1:3" x14ac:dyDescent="0.25">
      <c r="A16" s="42" t="s">
        <v>93</v>
      </c>
      <c r="B16" s="46"/>
      <c r="C16" s="47">
        <v>-2204633.04</v>
      </c>
    </row>
    <row r="17" spans="1:3" x14ac:dyDescent="0.25">
      <c r="A17" s="42" t="s">
        <v>94</v>
      </c>
      <c r="B17" s="46"/>
      <c r="C17" s="47">
        <v>3000000</v>
      </c>
    </row>
    <row r="18" spans="1:3" x14ac:dyDescent="0.25">
      <c r="A18" s="42" t="s">
        <v>95</v>
      </c>
      <c r="B18" s="46"/>
      <c r="C18" s="47"/>
    </row>
    <row r="19" spans="1:3" x14ac:dyDescent="0.25">
      <c r="A19" s="42" t="s">
        <v>96</v>
      </c>
      <c r="B19" s="46"/>
      <c r="C19" s="47">
        <v>-14000000</v>
      </c>
    </row>
    <row r="20" spans="1:3" x14ac:dyDescent="0.25">
      <c r="A20" s="42" t="s">
        <v>97</v>
      </c>
      <c r="B20" s="46"/>
      <c r="C20" s="47">
        <v>2225005</v>
      </c>
    </row>
    <row r="21" spans="1:3" x14ac:dyDescent="0.25">
      <c r="A21" s="42" t="s">
        <v>98</v>
      </c>
      <c r="B21" s="46"/>
      <c r="C21" s="47">
        <v>-3116269.64</v>
      </c>
    </row>
    <row r="22" spans="1:3" x14ac:dyDescent="0.25">
      <c r="A22" s="42" t="s">
        <v>99</v>
      </c>
      <c r="B22" s="46"/>
      <c r="C22" s="47"/>
    </row>
    <row r="23" spans="1:3" x14ac:dyDescent="0.25">
      <c r="A23" s="42" t="s">
        <v>100</v>
      </c>
      <c r="B23" s="46"/>
      <c r="C23" s="47"/>
    </row>
    <row r="24" spans="1:3" x14ac:dyDescent="0.25">
      <c r="A24" s="42" t="s">
        <v>101</v>
      </c>
      <c r="B24" s="46"/>
      <c r="C24" s="47"/>
    </row>
    <row r="25" spans="1:3" x14ac:dyDescent="0.25">
      <c r="A25" s="42" t="s">
        <v>102</v>
      </c>
      <c r="B25" s="46"/>
      <c r="C25" s="47"/>
    </row>
    <row r="26" spans="1:3" x14ac:dyDescent="0.25">
      <c r="A26" s="42" t="s">
        <v>103</v>
      </c>
      <c r="B26" s="46"/>
      <c r="C26" s="46"/>
    </row>
    <row r="27" spans="1:3" x14ac:dyDescent="0.25">
      <c r="A27" s="42" t="s">
        <v>104</v>
      </c>
      <c r="B27" s="46"/>
      <c r="C27" s="46"/>
    </row>
    <row r="28" spans="1:3" x14ac:dyDescent="0.25">
      <c r="A28" s="42" t="s">
        <v>105</v>
      </c>
      <c r="B28" s="46"/>
      <c r="C28" s="46"/>
    </row>
    <row r="29" spans="1:3" x14ac:dyDescent="0.25">
      <c r="A29" s="42" t="s">
        <v>106</v>
      </c>
      <c r="B29" s="46"/>
      <c r="C29" s="46"/>
    </row>
    <row r="30" spans="1:3" x14ac:dyDescent="0.25">
      <c r="A30" s="42" t="s">
        <v>107</v>
      </c>
      <c r="B30" s="46"/>
      <c r="C30" s="46"/>
    </row>
    <row r="31" spans="1:3" x14ac:dyDescent="0.25">
      <c r="A31" s="42" t="s">
        <v>108</v>
      </c>
      <c r="B31" s="46"/>
      <c r="C31" s="46">
        <v>-3000000</v>
      </c>
    </row>
    <row r="32" spans="1:3" x14ac:dyDescent="0.25">
      <c r="A32" s="44" t="s">
        <v>109</v>
      </c>
      <c r="B32" s="48">
        <f t="shared" ref="B32:C32" si="0">SUM(B6:B31)</f>
        <v>13315175</v>
      </c>
      <c r="C32" s="48">
        <f t="shared" si="0"/>
        <v>-474607131.13</v>
      </c>
    </row>
    <row r="33" spans="1:3" s="62" customFormat="1" x14ac:dyDescent="0.25">
      <c r="A33" s="65"/>
      <c r="B33" s="65">
        <f>RETA!D6</f>
        <v>13315175</v>
      </c>
      <c r="C33" s="65">
        <f>RETA!D12+RETA!D65</f>
        <v>-474607131.05999994</v>
      </c>
    </row>
    <row r="34" spans="1:3" s="62" customFormat="1" x14ac:dyDescent="0.25">
      <c r="A34" s="65"/>
      <c r="B34" s="65">
        <f t="shared" ref="B34:C34" si="1">B32-B33</f>
        <v>0</v>
      </c>
      <c r="C34" s="65">
        <f t="shared" si="1"/>
        <v>-7.0000052452087402E-2</v>
      </c>
    </row>
    <row r="35" spans="1:3" x14ac:dyDescent="0.25">
      <c r="B35" s="62"/>
      <c r="C35" s="7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650A6-E79B-41A5-8DEC-AD1BF1FF0039}">
  <dimension ref="A1:I20"/>
  <sheetViews>
    <sheetView workbookViewId="0">
      <selection activeCell="G29" sqref="G29"/>
    </sheetView>
  </sheetViews>
  <sheetFormatPr defaultRowHeight="15" x14ac:dyDescent="0.25"/>
  <cols>
    <col min="1" max="1" width="40" style="76" bestFit="1" customWidth="1"/>
    <col min="2" max="3" width="14.28515625" style="76" bestFit="1" customWidth="1"/>
    <col min="4" max="4" width="9.7109375" style="76" bestFit="1" customWidth="1"/>
    <col min="5" max="5" width="30.42578125" style="76" hidden="1" customWidth="1"/>
    <col min="6" max="7" width="14.28515625" style="76" bestFit="1" customWidth="1"/>
    <col min="8" max="8" width="8.7109375" style="76" bestFit="1" customWidth="1"/>
    <col min="9" max="9" width="45.7109375" style="76" customWidth="1"/>
    <col min="10" max="16384" width="9.140625" style="76"/>
  </cols>
  <sheetData>
    <row r="1" spans="1:9" x14ac:dyDescent="0.25">
      <c r="A1" s="40" t="s">
        <v>131</v>
      </c>
      <c r="B1" s="49"/>
      <c r="C1" s="49"/>
      <c r="D1" s="49"/>
      <c r="E1" s="50"/>
      <c r="F1" s="51"/>
      <c r="G1" s="74"/>
      <c r="H1" s="74"/>
      <c r="I1" s="75"/>
    </row>
    <row r="2" spans="1:9" x14ac:dyDescent="0.25">
      <c r="A2" s="40" t="s">
        <v>112</v>
      </c>
      <c r="B2" s="49"/>
      <c r="C2" s="49"/>
      <c r="D2" s="49"/>
      <c r="E2" s="50"/>
      <c r="F2" s="49"/>
      <c r="G2" s="49"/>
      <c r="H2" s="74"/>
      <c r="I2" s="75"/>
    </row>
    <row r="3" spans="1:9" x14ac:dyDescent="0.25">
      <c r="A3" s="77"/>
      <c r="B3" s="78">
        <f>SUM(B5:B20)</f>
        <v>-317197669.80000001</v>
      </c>
      <c r="C3" s="78">
        <f>SUM(C5:C20)</f>
        <v>-317197669.67000002</v>
      </c>
      <c r="D3" s="78">
        <f>SUM(D5:D20)</f>
        <v>4.6566128730773926E-9</v>
      </c>
      <c r="E3" s="78"/>
      <c r="F3" s="78">
        <f>SUM(F5:F20)</f>
        <v>-313342438.84999996</v>
      </c>
      <c r="G3" s="78">
        <f>SUM(G5:G20)</f>
        <v>-313342438.36000001</v>
      </c>
      <c r="H3" s="79">
        <f>SUM(H5:H20)</f>
        <v>-0.48999995645135641</v>
      </c>
    </row>
    <row r="4" spans="1:9" ht="25.5" x14ac:dyDescent="0.25">
      <c r="A4" s="54" t="s">
        <v>113</v>
      </c>
      <c r="B4" s="55" t="s">
        <v>133</v>
      </c>
      <c r="C4" s="55" t="s">
        <v>114</v>
      </c>
      <c r="D4" s="55" t="s">
        <v>115</v>
      </c>
      <c r="E4" s="56" t="s">
        <v>116</v>
      </c>
      <c r="F4" s="55" t="s">
        <v>134</v>
      </c>
      <c r="G4" s="55" t="s">
        <v>117</v>
      </c>
      <c r="H4" s="55" t="s">
        <v>118</v>
      </c>
      <c r="I4" s="54" t="s">
        <v>116</v>
      </c>
    </row>
    <row r="5" spans="1:9" x14ac:dyDescent="0.25">
      <c r="A5" s="42" t="s">
        <v>119</v>
      </c>
      <c r="B5" s="47">
        <v>45351772.369999997</v>
      </c>
      <c r="C5" s="47">
        <v>45351772.369999997</v>
      </c>
      <c r="D5" s="47">
        <v>0</v>
      </c>
      <c r="E5" s="47"/>
      <c r="F5" s="47">
        <v>37898065.979999997</v>
      </c>
      <c r="G5" s="47">
        <v>37898065.979999997</v>
      </c>
      <c r="H5" s="47">
        <v>0</v>
      </c>
      <c r="I5" s="47"/>
    </row>
    <row r="6" spans="1:9" x14ac:dyDescent="0.25">
      <c r="A6" s="42" t="s">
        <v>1</v>
      </c>
      <c r="B6" s="47">
        <v>8860</v>
      </c>
      <c r="C6" s="47">
        <v>8860</v>
      </c>
      <c r="D6" s="47">
        <v>0</v>
      </c>
      <c r="E6" s="47"/>
      <c r="F6" s="47">
        <v>7530</v>
      </c>
      <c r="G6" s="47">
        <v>7530</v>
      </c>
      <c r="H6" s="47">
        <v>0</v>
      </c>
      <c r="I6" s="47"/>
    </row>
    <row r="7" spans="1:9" x14ac:dyDescent="0.25">
      <c r="A7" s="42" t="s">
        <v>2</v>
      </c>
      <c r="B7" s="47">
        <v>3254681.14</v>
      </c>
      <c r="C7" s="47">
        <v>3268014.0100000002</v>
      </c>
      <c r="D7" s="47">
        <v>-13332.870000000112</v>
      </c>
      <c r="E7" s="47"/>
      <c r="F7" s="47">
        <v>3257342.47</v>
      </c>
      <c r="G7" s="47">
        <v>3265711.52</v>
      </c>
      <c r="H7" s="47">
        <v>-8369.0499999998137</v>
      </c>
      <c r="I7" s="46" t="s">
        <v>136</v>
      </c>
    </row>
    <row r="8" spans="1:9" x14ac:dyDescent="0.25">
      <c r="A8" s="42" t="s">
        <v>3</v>
      </c>
      <c r="B8" s="47">
        <v>12376732.050000001</v>
      </c>
      <c r="C8" s="47">
        <v>12376732.050000001</v>
      </c>
      <c r="D8" s="47">
        <v>0</v>
      </c>
      <c r="E8" s="47"/>
      <c r="F8" s="47">
        <v>6996139.6100000003</v>
      </c>
      <c r="G8" s="47">
        <v>6996139.6299999999</v>
      </c>
      <c r="H8" s="47">
        <v>-1.9999999552965164E-2</v>
      </c>
      <c r="I8" s="47"/>
    </row>
    <row r="9" spans="1:9" x14ac:dyDescent="0.25">
      <c r="A9" s="42" t="s">
        <v>120</v>
      </c>
      <c r="B9" s="47">
        <v>0</v>
      </c>
      <c r="C9" s="47">
        <v>0</v>
      </c>
      <c r="D9" s="47">
        <v>0</v>
      </c>
      <c r="E9" s="47"/>
      <c r="F9" s="47">
        <v>1094040</v>
      </c>
      <c r="G9" s="47">
        <v>1094040</v>
      </c>
      <c r="H9" s="47">
        <v>0</v>
      </c>
      <c r="I9" s="47"/>
    </row>
    <row r="10" spans="1:9" x14ac:dyDescent="0.25">
      <c r="A10" s="42" t="s">
        <v>4</v>
      </c>
      <c r="B10" s="47">
        <v>4851.47</v>
      </c>
      <c r="C10" s="47">
        <v>4851.47</v>
      </c>
      <c r="D10" s="47">
        <v>0</v>
      </c>
      <c r="E10" s="47"/>
      <c r="F10" s="47">
        <v>4502.6799999999994</v>
      </c>
      <c r="G10" s="47">
        <v>4502.6799999999994</v>
      </c>
      <c r="H10" s="47">
        <v>0</v>
      </c>
      <c r="I10" s="47"/>
    </row>
    <row r="11" spans="1:9" x14ac:dyDescent="0.25">
      <c r="A11" s="42" t="s">
        <v>121</v>
      </c>
      <c r="B11" s="47">
        <v>13332.87</v>
      </c>
      <c r="C11" s="47">
        <v>0</v>
      </c>
      <c r="D11" s="47">
        <v>13332.87</v>
      </c>
      <c r="E11" s="47"/>
      <c r="F11" s="47">
        <v>8369.0499999999993</v>
      </c>
      <c r="G11" s="47">
        <v>0</v>
      </c>
      <c r="H11" s="47">
        <v>8369.0499999999993</v>
      </c>
      <c r="I11" s="46" t="s">
        <v>136</v>
      </c>
    </row>
    <row r="12" spans="1:9" x14ac:dyDescent="0.25">
      <c r="A12" s="42" t="s">
        <v>122</v>
      </c>
      <c r="B12" s="47">
        <v>1210.99</v>
      </c>
      <c r="C12" s="47">
        <v>292759.86</v>
      </c>
      <c r="D12" s="47">
        <v>-291548.87</v>
      </c>
      <c r="E12" s="47"/>
      <c r="F12" s="47">
        <v>-505814.17000000004</v>
      </c>
      <c r="G12" s="47">
        <v>-505814.17000000004</v>
      </c>
      <c r="H12" s="47">
        <v>0</v>
      </c>
      <c r="I12" s="47"/>
    </row>
    <row r="13" spans="1:9" x14ac:dyDescent="0.25">
      <c r="A13" s="42" t="s">
        <v>123</v>
      </c>
      <c r="B13" s="47">
        <v>-375951974.50999999</v>
      </c>
      <c r="C13" s="47">
        <v>-375965307.25</v>
      </c>
      <c r="D13" s="47">
        <v>13332.870000004768</v>
      </c>
      <c r="E13" s="47"/>
      <c r="F13" s="47">
        <v>-358586024.21999997</v>
      </c>
      <c r="G13" s="47">
        <v>-358594392.80000001</v>
      </c>
      <c r="H13" s="47">
        <v>8368.5800000429153</v>
      </c>
      <c r="I13" s="46" t="s">
        <v>136</v>
      </c>
    </row>
    <row r="14" spans="1:9" x14ac:dyDescent="0.25">
      <c r="A14" s="42" t="s">
        <v>124</v>
      </c>
      <c r="B14" s="47">
        <v>-13332.87</v>
      </c>
      <c r="C14" s="47">
        <v>0</v>
      </c>
      <c r="D14" s="47">
        <v>-13332.87</v>
      </c>
      <c r="E14" s="47"/>
      <c r="F14" s="47">
        <v>-8369.0499999999993</v>
      </c>
      <c r="G14" s="47">
        <v>0</v>
      </c>
      <c r="H14" s="47">
        <v>-8369.0499999999993</v>
      </c>
      <c r="I14" s="46" t="s">
        <v>136</v>
      </c>
    </row>
    <row r="15" spans="1:9" x14ac:dyDescent="0.25">
      <c r="A15" s="42" t="s">
        <v>125</v>
      </c>
      <c r="B15" s="47">
        <v>291548.87</v>
      </c>
      <c r="C15" s="47">
        <v>0</v>
      </c>
      <c r="D15" s="47">
        <v>291548.87</v>
      </c>
      <c r="E15" s="47"/>
      <c r="F15" s="47">
        <v>0</v>
      </c>
      <c r="G15" s="47">
        <v>0</v>
      </c>
      <c r="H15" s="47">
        <v>0</v>
      </c>
      <c r="I15" s="47"/>
    </row>
    <row r="16" spans="1:9" x14ac:dyDescent="0.25">
      <c r="A16" s="42" t="s">
        <v>126</v>
      </c>
      <c r="B16" s="47">
        <v>-1514634.23</v>
      </c>
      <c r="C16" s="47">
        <v>-1514634.23</v>
      </c>
      <c r="D16" s="47">
        <v>0</v>
      </c>
      <c r="E16" s="47"/>
      <c r="F16" s="47">
        <v>-2221502.1800000002</v>
      </c>
      <c r="G16" s="47">
        <v>-2221502.1800000002</v>
      </c>
      <c r="H16" s="47">
        <v>0</v>
      </c>
      <c r="I16" s="47"/>
    </row>
    <row r="17" spans="1:9" x14ac:dyDescent="0.25">
      <c r="A17" s="42" t="s">
        <v>73</v>
      </c>
      <c r="B17" s="47">
        <v>-475121.63</v>
      </c>
      <c r="C17" s="47">
        <v>-475121.63000000006</v>
      </c>
      <c r="D17" s="47">
        <v>0</v>
      </c>
      <c r="E17" s="47"/>
      <c r="F17" s="47">
        <v>-1264285.02</v>
      </c>
      <c r="G17" s="47">
        <v>-1264285.02</v>
      </c>
      <c r="H17" s="47">
        <v>0</v>
      </c>
      <c r="I17" s="47"/>
    </row>
    <row r="18" spans="1:9" hidden="1" x14ac:dyDescent="0.25">
      <c r="A18" s="42" t="s">
        <v>127</v>
      </c>
      <c r="B18" s="47">
        <v>0</v>
      </c>
      <c r="C18" s="47">
        <v>0</v>
      </c>
      <c r="D18" s="47">
        <v>0</v>
      </c>
      <c r="E18" s="47"/>
      <c r="F18" s="47">
        <v>0</v>
      </c>
      <c r="G18" s="47">
        <v>0</v>
      </c>
      <c r="H18" s="47">
        <v>0</v>
      </c>
      <c r="I18" s="47"/>
    </row>
    <row r="19" spans="1:9" x14ac:dyDescent="0.25">
      <c r="A19" s="42" t="s">
        <v>128</v>
      </c>
      <c r="B19" s="47">
        <v>-98219.92</v>
      </c>
      <c r="C19" s="47">
        <v>-98219.92</v>
      </c>
      <c r="D19" s="47">
        <v>0</v>
      </c>
      <c r="E19" s="47"/>
      <c r="F19" s="47">
        <v>-22434</v>
      </c>
      <c r="G19" s="47">
        <v>-22434</v>
      </c>
      <c r="H19" s="47">
        <v>0</v>
      </c>
      <c r="I19" s="47"/>
    </row>
    <row r="20" spans="1:9" x14ac:dyDescent="0.25">
      <c r="A20" s="42" t="s">
        <v>129</v>
      </c>
      <c r="B20" s="47">
        <v>-447376.4</v>
      </c>
      <c r="C20" s="47">
        <v>-447376.4</v>
      </c>
      <c r="D20" s="47">
        <v>0</v>
      </c>
      <c r="E20" s="47"/>
      <c r="F20" s="47">
        <v>0</v>
      </c>
      <c r="G20" s="47">
        <v>0</v>
      </c>
      <c r="H20" s="47">
        <v>0</v>
      </c>
      <c r="I20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8ACCEF77512D40B856060F62DF5D0F" ma:contentTypeVersion="18" ma:contentTypeDescription="Create a new document." ma:contentTypeScope="" ma:versionID="5d73a82afdc8ada914330742353a99ce">
  <xsd:schema xmlns:xsd="http://www.w3.org/2001/XMLSchema" xmlns:xs="http://www.w3.org/2001/XMLSchema" xmlns:p="http://schemas.microsoft.com/office/2006/metadata/properties" xmlns:ns2="19db9c30-584d-4ad5-9af0-9aa7f98fdc73" xmlns:ns3="b8a1d2b4-14fc-4346-bc33-b5e3ce352a93" targetNamespace="http://schemas.microsoft.com/office/2006/metadata/properties" ma:root="true" ma:fieldsID="18047c02caa9cefbe897c47187f5f5f2" ns2:_="" ns3:_="">
    <xsd:import namespace="19db9c30-584d-4ad5-9af0-9aa7f98fdc73"/>
    <xsd:import namespace="b8a1d2b4-14fc-4346-bc33-b5e3ce352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b9c30-584d-4ad5-9af0-9aa7f98fdc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1d2b4-14fc-4346-bc33-b5e3ce352a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5e503bb-8001-4011-ab10-845891afb5e6}" ma:internalName="TaxCatchAll" ma:showField="CatchAllData" ma:web="b8a1d2b4-14fc-4346-bc33-b5e3ce352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db9c30-584d-4ad5-9af0-9aa7f98fdc73">
      <Terms xmlns="http://schemas.microsoft.com/office/infopath/2007/PartnerControls"/>
    </lcf76f155ced4ddcb4097134ff3c332f>
    <TaxCatchAll xmlns="b8a1d2b4-14fc-4346-bc33-b5e3ce352a93" xsi:nil="true"/>
  </documentManagement>
</p:properties>
</file>

<file path=customXml/itemProps1.xml><?xml version="1.0" encoding="utf-8"?>
<ds:datastoreItem xmlns:ds="http://schemas.openxmlformats.org/officeDocument/2006/customXml" ds:itemID="{FD672EDD-4F2C-4DC0-B92D-5724F9C5D3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db9c30-584d-4ad5-9af0-9aa7f98fdc73"/>
    <ds:schemaRef ds:uri="b8a1d2b4-14fc-4346-bc33-b5e3ce352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0B019B-E629-4CA5-8555-25029B996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66250-9A7E-4CEF-A583-7CB7B1088FA2}">
  <ds:schemaRefs>
    <ds:schemaRef ds:uri="http://www.w3.org/XML/1998/namespace"/>
    <ds:schemaRef ds:uri="19db9c30-584d-4ad5-9af0-9aa7f98fdc73"/>
    <ds:schemaRef ds:uri="http://schemas.microsoft.com/office/2006/documentManagement/types"/>
    <ds:schemaRef ds:uri="http://schemas.microsoft.com/office/2006/metadata/properties"/>
    <ds:schemaRef ds:uri="b8a1d2b4-14fc-4346-bc33-b5e3ce352a93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RETA</vt:lpstr>
      <vt:lpstr>lisa1 Lõpliku ea kujunemine</vt:lpstr>
      <vt:lpstr>lisa2 RE ja TA võrdlus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Piret Mägi</dc:creator>
  <cp:lastModifiedBy>Riina Uljas</cp:lastModifiedBy>
  <dcterms:created xsi:type="dcterms:W3CDTF">2025-03-21T06:37:24Z</dcterms:created>
  <dcterms:modified xsi:type="dcterms:W3CDTF">2025-06-09T11:59:12Z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0x010100A98ACCEF77512D40B856060F62DF5D0F</vt:lpwstr>
  </property>
  <property fmtid="{D5CDD505-2E9C-101B-9397-08002B2CF9AE}" pid="3" name="Order">
    <vt:r8>66665200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2025-06-02T08:50:28Z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d8726938-39d0-456e-be97-9aec37a7a88f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  <property fmtid="{D5CDD505-2E9C-101B-9397-08002B2CF9AE}" pid="12" name="MediaServiceImageTags">
    <vt:lpwstr/>
  </property>
</Properties>
</file>